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9"/>
  <workbookPr/>
  <mc:AlternateContent xmlns:mc="http://schemas.openxmlformats.org/markup-compatibility/2006">
    <mc:Choice Requires="x15">
      <x15ac:absPath xmlns:x15ac="http://schemas.microsoft.com/office/spreadsheetml/2010/11/ac" url="C:\Users\yabrahan\Desktop\"/>
    </mc:Choice>
  </mc:AlternateContent>
  <xr:revisionPtr revIDLastSave="0" documentId="11_3F0E40CFF3B69E5E7D04ADD5ACFC959034D67140" xr6:coauthVersionLast="47" xr6:coauthVersionMax="47" xr10:uidLastSave="{00000000-0000-0000-0000-000000000000}"/>
  <bookViews>
    <workbookView xWindow="0" yWindow="0" windowWidth="10215" windowHeight="7110" xr2:uid="{00000000-000D-0000-FFFF-FFFF00000000}"/>
  </bookViews>
  <sheets>
    <sheet name="hoja de metrado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0" i="5" l="1"/>
  <c r="K103" i="5"/>
  <c r="X37" i="5" l="1"/>
  <c r="I38" i="5"/>
  <c r="X28" i="5"/>
  <c r="I28" i="5"/>
  <c r="I18" i="5"/>
  <c r="X18" i="5"/>
  <c r="X8" i="5"/>
  <c r="I8" i="5"/>
  <c r="C37" i="5"/>
  <c r="S27" i="5"/>
  <c r="C27" i="5"/>
  <c r="S17" i="5"/>
  <c r="C17" i="5"/>
  <c r="I37" i="5"/>
  <c r="X27" i="5"/>
  <c r="I27" i="5"/>
  <c r="I17" i="5"/>
  <c r="X17" i="5"/>
  <c r="X7" i="5"/>
  <c r="I7" i="5"/>
  <c r="S7" i="5"/>
  <c r="C7" i="5"/>
  <c r="S126" i="5" l="1"/>
  <c r="X83" i="5" l="1"/>
  <c r="Z81" i="5"/>
  <c r="Z82" i="5" s="1"/>
  <c r="X103" i="5"/>
  <c r="Y89" i="5"/>
  <c r="Y90" i="5"/>
  <c r="Y91" i="5" l="1"/>
  <c r="X111" i="5"/>
  <c r="X109" i="5"/>
  <c r="X108" i="5"/>
  <c r="Z107" i="5" s="1"/>
  <c r="Z108" i="5" s="1"/>
  <c r="X105" i="5"/>
  <c r="X102" i="5"/>
  <c r="D110" i="5"/>
  <c r="D109" i="5"/>
  <c r="D108" i="5"/>
  <c r="D107" i="5"/>
  <c r="D106" i="5"/>
  <c r="D105" i="5"/>
  <c r="D104" i="5"/>
  <c r="D85" i="5"/>
  <c r="H87" i="5"/>
  <c r="J85" i="5"/>
  <c r="I83" i="5"/>
  <c r="D75" i="5"/>
  <c r="C68" i="5"/>
  <c r="D58" i="5"/>
  <c r="D59" i="5" s="1"/>
  <c r="D54" i="5"/>
  <c r="D51" i="5"/>
  <c r="D50" i="5"/>
  <c r="D48" i="5" s="1"/>
  <c r="S37" i="5"/>
  <c r="W38" i="5"/>
  <c r="V38" i="5"/>
  <c r="T36" i="5"/>
  <c r="AE37" i="5" s="1"/>
  <c r="Y35" i="5"/>
  <c r="AE35" i="5" s="1"/>
  <c r="Y34" i="5"/>
  <c r="AE34" i="5" s="1"/>
  <c r="W33" i="5"/>
  <c r="V33" i="5"/>
  <c r="U33" i="5"/>
  <c r="T33" i="5"/>
  <c r="H38" i="5"/>
  <c r="G38" i="5"/>
  <c r="D36" i="5"/>
  <c r="M37" i="5" s="1"/>
  <c r="J35" i="5"/>
  <c r="M35" i="5" s="1"/>
  <c r="J34" i="5"/>
  <c r="M34" i="5" s="1"/>
  <c r="H33" i="5"/>
  <c r="G33" i="5"/>
  <c r="F33" i="5"/>
  <c r="D33" i="5"/>
  <c r="W28" i="5"/>
  <c r="V28" i="5"/>
  <c r="T26" i="5"/>
  <c r="Y25" i="5"/>
  <c r="AE25" i="5" s="1"/>
  <c r="Y24" i="5"/>
  <c r="AE24" i="5" s="1"/>
  <c r="W23" i="5"/>
  <c r="V23" i="5"/>
  <c r="U23" i="5"/>
  <c r="T23" i="5"/>
  <c r="H28" i="5"/>
  <c r="G28" i="5"/>
  <c r="D26" i="5"/>
  <c r="J25" i="5"/>
  <c r="M25" i="5" s="1"/>
  <c r="J24" i="5"/>
  <c r="M24" i="5" s="1"/>
  <c r="H23" i="5"/>
  <c r="G23" i="5"/>
  <c r="F23" i="5"/>
  <c r="D23" i="5"/>
  <c r="W18" i="5"/>
  <c r="V18" i="5"/>
  <c r="T16" i="5"/>
  <c r="Y15" i="5"/>
  <c r="AE15" i="5" s="1"/>
  <c r="Y14" i="5"/>
  <c r="AE14" i="5" s="1"/>
  <c r="W13" i="5"/>
  <c r="V13" i="5"/>
  <c r="U13" i="5"/>
  <c r="T13" i="5"/>
  <c r="H18" i="5"/>
  <c r="G18" i="5"/>
  <c r="D16" i="5"/>
  <c r="J15" i="5"/>
  <c r="M15" i="5" s="1"/>
  <c r="J14" i="5"/>
  <c r="M14" i="5" s="1"/>
  <c r="H13" i="5"/>
  <c r="G13" i="5"/>
  <c r="F13" i="5"/>
  <c r="D13" i="5"/>
  <c r="W8" i="5"/>
  <c r="V8" i="5"/>
  <c r="T6" i="5"/>
  <c r="Y5" i="5"/>
  <c r="AE5" i="5" s="1"/>
  <c r="Y4" i="5"/>
  <c r="AE4" i="5" s="1"/>
  <c r="W3" i="5"/>
  <c r="V3" i="5"/>
  <c r="U3" i="5"/>
  <c r="T3" i="5"/>
  <c r="H8" i="5"/>
  <c r="G8" i="5"/>
  <c r="M8" i="5" s="1"/>
  <c r="D6" i="5"/>
  <c r="J5" i="5"/>
  <c r="M5" i="5" s="1"/>
  <c r="J4" i="5"/>
  <c r="M4" i="5" s="1"/>
  <c r="D3" i="5"/>
  <c r="F3" i="5"/>
  <c r="G3" i="5"/>
  <c r="H3" i="5"/>
  <c r="I3" i="5"/>
  <c r="D103" i="5" s="1"/>
  <c r="H103" i="5" s="1"/>
  <c r="AE38" i="5" l="1"/>
  <c r="AI38" i="5" s="1"/>
  <c r="C71" i="5"/>
  <c r="Q85" i="5"/>
  <c r="C95" i="5" s="1"/>
  <c r="C90" i="5" s="1"/>
  <c r="D111" i="5"/>
  <c r="M23" i="5"/>
  <c r="M27" i="5"/>
  <c r="O23" i="5" s="1"/>
  <c r="AE23" i="5"/>
  <c r="H85" i="5"/>
  <c r="Z101" i="5"/>
  <c r="AE28" i="5"/>
  <c r="AI28" i="5" s="1"/>
  <c r="D55" i="5"/>
  <c r="D87" i="5"/>
  <c r="H104" i="5"/>
  <c r="M18" i="5"/>
  <c r="O18" i="5" s="1"/>
  <c r="C74" i="5"/>
  <c r="M7" i="5"/>
  <c r="AE13" i="5"/>
  <c r="AE33" i="5"/>
  <c r="AI33" i="5" s="1"/>
  <c r="AI41" i="5" s="1"/>
  <c r="G110" i="5" s="1"/>
  <c r="V123" i="5" s="1"/>
  <c r="D83" i="5"/>
  <c r="M3" i="5"/>
  <c r="O8" i="5"/>
  <c r="AE17" i="5"/>
  <c r="M28" i="5"/>
  <c r="O28" i="5" s="1"/>
  <c r="M38" i="5"/>
  <c r="O38" i="5" s="1"/>
  <c r="AE8" i="5"/>
  <c r="AI8" i="5" s="1"/>
  <c r="M13" i="5"/>
  <c r="M17" i="5"/>
  <c r="AE27" i="5"/>
  <c r="M33" i="5"/>
  <c r="O33" i="5" s="1"/>
  <c r="AE7" i="5"/>
  <c r="AE18" i="5"/>
  <c r="AI18" i="5" s="1"/>
  <c r="AE3" i="5"/>
  <c r="AI23" i="5" l="1"/>
  <c r="AI31" i="5" s="1"/>
  <c r="G108" i="5" s="1"/>
  <c r="V121" i="5" s="1"/>
  <c r="AI13" i="5"/>
  <c r="AI21" i="5" s="1"/>
  <c r="G106" i="5" s="1"/>
  <c r="V119" i="5" s="1"/>
  <c r="O31" i="5"/>
  <c r="G107" i="5" s="1"/>
  <c r="V120" i="5" s="1"/>
  <c r="O3" i="5"/>
  <c r="O11" i="5" s="1"/>
  <c r="G103" i="5" s="1"/>
  <c r="AI3" i="5"/>
  <c r="AI11" i="5" s="1"/>
  <c r="G104" i="5" s="1"/>
  <c r="H105" i="5"/>
  <c r="O41" i="5"/>
  <c r="G109" i="5" s="1"/>
  <c r="V122" i="5" s="1"/>
  <c r="O13" i="5"/>
  <c r="O21" i="5" s="1"/>
  <c r="G105" i="5" s="1"/>
  <c r="V118" i="5" s="1"/>
  <c r="L104" i="5" l="1"/>
  <c r="V117" i="5"/>
  <c r="L103" i="5"/>
  <c r="V116" i="5"/>
  <c r="L105" i="5"/>
  <c r="G111" i="5"/>
  <c r="H106" i="5"/>
  <c r="L106" i="5" s="1"/>
  <c r="D45" i="5"/>
  <c r="A44" i="5"/>
  <c r="H107" i="5" l="1"/>
  <c r="L107" i="5" s="1"/>
  <c r="D47" i="5"/>
  <c r="D53" i="5" s="1"/>
  <c r="D56" i="5" s="1"/>
  <c r="D57" i="5" s="1"/>
  <c r="F99" i="5"/>
  <c r="H108" i="5" l="1"/>
  <c r="L108" i="5" s="1"/>
  <c r="H109" i="5" l="1"/>
  <c r="L109" i="5" s="1"/>
  <c r="H110" i="5" l="1"/>
  <c r="L110" i="5" s="1"/>
  <c r="L111" i="5" s="1"/>
  <c r="N104" i="5" l="1"/>
  <c r="N108" i="5"/>
  <c r="N106" i="5"/>
  <c r="N110" i="5"/>
  <c r="N103" i="5"/>
  <c r="N105" i="5"/>
  <c r="N107" i="5"/>
  <c r="N109" i="5"/>
  <c r="I109" i="5" s="1"/>
  <c r="W122" i="5" s="1"/>
  <c r="I104" i="5" l="1"/>
  <c r="W117" i="5" s="1"/>
  <c r="I107" i="5"/>
  <c r="W120" i="5" s="1"/>
  <c r="I106" i="5"/>
  <c r="W119" i="5" s="1"/>
  <c r="I108" i="5"/>
  <c r="W121" i="5" s="1"/>
  <c r="I105" i="5"/>
  <c r="W118" i="5" s="1"/>
  <c r="I103" i="5" l="1"/>
  <c r="W116" i="5" s="1"/>
  <c r="N111" i="5"/>
  <c r="I110" i="5"/>
  <c r="J110" i="5" l="1"/>
  <c r="D122" i="5" s="1"/>
  <c r="T123" i="5" s="1"/>
  <c r="W123" i="5"/>
  <c r="J109" i="5" l="1"/>
  <c r="D121" i="5" s="1"/>
  <c r="T122" i="5" s="1"/>
  <c r="F122" i="5"/>
  <c r="H122" i="5" s="1"/>
  <c r="J108" i="5" l="1"/>
  <c r="F121" i="5"/>
  <c r="H121" i="5" s="1"/>
  <c r="J107" i="5" l="1"/>
  <c r="D120" i="5"/>
  <c r="T121" i="5" l="1"/>
  <c r="F120" i="5"/>
  <c r="H120" i="5" s="1"/>
  <c r="J106" i="5"/>
  <c r="D119" i="5"/>
  <c r="D118" i="5" l="1"/>
  <c r="J105" i="5"/>
  <c r="T120" i="5"/>
  <c r="F119" i="5"/>
  <c r="H119" i="5" s="1"/>
  <c r="D117" i="5" l="1"/>
  <c r="J104" i="5"/>
  <c r="T119" i="5"/>
  <c r="F118" i="5"/>
  <c r="H118" i="5" s="1"/>
  <c r="J103" i="5" l="1"/>
  <c r="D115" i="5" s="1"/>
  <c r="D116" i="5"/>
  <c r="T118" i="5"/>
  <c r="F117" i="5"/>
  <c r="H117" i="5" s="1"/>
  <c r="T117" i="5" l="1"/>
  <c r="F116" i="5"/>
  <c r="H116" i="5" s="1"/>
  <c r="E115" i="5"/>
  <c r="E116" i="5" s="1"/>
  <c r="E117" i="5" s="1"/>
  <c r="E118" i="5" s="1"/>
  <c r="E119" i="5" s="1"/>
  <c r="E120" i="5" s="1"/>
  <c r="E121" i="5" s="1"/>
  <c r="E122" i="5" s="1"/>
  <c r="F115" i="5"/>
  <c r="H115" i="5" s="1"/>
  <c r="T116" i="5"/>
  <c r="U116" i="5" s="1"/>
  <c r="Y116" i="5" l="1"/>
  <c r="U117" i="5"/>
  <c r="Z116" i="5"/>
  <c r="Y117" i="5" l="1"/>
  <c r="Z117" i="5"/>
  <c r="U118" i="5"/>
  <c r="Y118" i="5" l="1"/>
  <c r="Z118" i="5"/>
  <c r="U119" i="5"/>
  <c r="Y119" i="5" l="1"/>
  <c r="Z119" i="5"/>
  <c r="U120" i="5"/>
  <c r="Y120" i="5" l="1"/>
  <c r="Z120" i="5"/>
  <c r="U121" i="5"/>
  <c r="Y121" i="5" l="1"/>
  <c r="Z121" i="5"/>
  <c r="U122" i="5"/>
  <c r="Y122" i="5" l="1"/>
  <c r="Z122" i="5"/>
  <c r="U123" i="5"/>
  <c r="Y123" i="5" l="1"/>
  <c r="Y124" i="5" s="1"/>
  <c r="Z123" i="5"/>
  <c r="Z124" i="5" s="1"/>
  <c r="T126" i="5" l="1"/>
  <c r="Z125" i="5" s="1"/>
</calcChain>
</file>

<file path=xl/sharedStrings.xml><?xml version="1.0" encoding="utf-8"?>
<sst xmlns="http://schemas.openxmlformats.org/spreadsheetml/2006/main" count="437" uniqueCount="180">
  <si>
    <t>METRADO DE CARGAS PARA UNA EDIFACION</t>
  </si>
  <si>
    <t>PRIMER PISO</t>
  </si>
  <si>
    <t>veces</t>
  </si>
  <si>
    <t>cantidad</t>
  </si>
  <si>
    <t xml:space="preserve">largo y </t>
  </si>
  <si>
    <t>ancho X</t>
  </si>
  <si>
    <t>altura</t>
  </si>
  <si>
    <t>peso especifico del concreto</t>
  </si>
  <si>
    <t>parcial</t>
  </si>
  <si>
    <t>unidad</t>
  </si>
  <si>
    <t>total</t>
  </si>
  <si>
    <t>2 PISO</t>
  </si>
  <si>
    <t xml:space="preserve">largo </t>
  </si>
  <si>
    <t>ancho</t>
  </si>
  <si>
    <t>C.M</t>
  </si>
  <si>
    <t>COLUMNAS:</t>
  </si>
  <si>
    <t>Tn/m3</t>
  </si>
  <si>
    <t>tn</t>
  </si>
  <si>
    <t>VIGAS. H, .30X.60:</t>
  </si>
  <si>
    <t>VIGAS. V, .25X.40:</t>
  </si>
  <si>
    <t>LOSA:</t>
  </si>
  <si>
    <t>peso de losa según espesor</t>
  </si>
  <si>
    <t>espesor</t>
  </si>
  <si>
    <t>Tn/m2</t>
  </si>
  <si>
    <t>C.V</t>
  </si>
  <si>
    <t>TOTAL PESO DEL 1 PISO</t>
  </si>
  <si>
    <t>TOTAL PESO DEL 2 PISO</t>
  </si>
  <si>
    <t>3 PISO</t>
  </si>
  <si>
    <t>4 PISO</t>
  </si>
  <si>
    <t>VIGAS. H, .40X.60:</t>
  </si>
  <si>
    <t>VIGAS. V, .25X.50:</t>
  </si>
  <si>
    <t>TOTAL PESO DEL 3 PISO</t>
  </si>
  <si>
    <t>TOTAL PESO DEL 4 PISO</t>
  </si>
  <si>
    <t>5 PISO</t>
  </si>
  <si>
    <t>6 PISO</t>
  </si>
  <si>
    <t>TOTAL PESO DEL 5 PISO</t>
  </si>
  <si>
    <t>TOTAL PESO DEL 6 PISO</t>
  </si>
  <si>
    <t>7 PISO</t>
  </si>
  <si>
    <t>8 PISO</t>
  </si>
  <si>
    <t>TOTAL PESO DEL 7 PISO</t>
  </si>
  <si>
    <t>TOTAL PESO DEL 8  PISO</t>
  </si>
  <si>
    <t>peso total de todo los pisos</t>
  </si>
  <si>
    <t>qa=</t>
  </si>
  <si>
    <t>tn/m2</t>
  </si>
  <si>
    <t>FORMULA DE RIGIDEZ</t>
  </si>
  <si>
    <t>B=</t>
  </si>
  <si>
    <t>m</t>
  </si>
  <si>
    <t>N° DE ZAPATAS</t>
  </si>
  <si>
    <t>N°</t>
  </si>
  <si>
    <t>kz=C1*A</t>
  </si>
  <si>
    <t>u=</t>
  </si>
  <si>
    <t>P. repartido a cada Zapata</t>
  </si>
  <si>
    <t>C1=</t>
  </si>
  <si>
    <r>
      <t>kg/cm</t>
    </r>
    <r>
      <rPr>
        <sz val="11"/>
        <color theme="1"/>
        <rFont val="Calibri"/>
        <family val="2"/>
      </rPr>
      <t>³</t>
    </r>
  </si>
  <si>
    <t>E=</t>
  </si>
  <si>
    <t>P. Propio de zapata</t>
  </si>
  <si>
    <t>If=</t>
  </si>
  <si>
    <t>cm/m</t>
  </si>
  <si>
    <t>Peso del concreto</t>
  </si>
  <si>
    <r>
      <t>tn/m</t>
    </r>
    <r>
      <rPr>
        <sz val="11"/>
        <color theme="1"/>
        <rFont val="Calibri"/>
        <family val="2"/>
      </rPr>
      <t>³</t>
    </r>
  </si>
  <si>
    <t>Volumen de Zapata</t>
  </si>
  <si>
    <r>
      <t>m</t>
    </r>
    <r>
      <rPr>
        <sz val="11"/>
        <color theme="1"/>
        <rFont val="Calibri"/>
        <family val="2"/>
      </rPr>
      <t>³</t>
    </r>
  </si>
  <si>
    <t>area de Zapata</t>
  </si>
  <si>
    <r>
      <t>cm</t>
    </r>
    <r>
      <rPr>
        <sz val="11"/>
        <color theme="1"/>
        <rFont val="Calibri"/>
        <family val="2"/>
      </rPr>
      <t>²</t>
    </r>
  </si>
  <si>
    <t>entonces</t>
  </si>
  <si>
    <t>P= peso</t>
  </si>
  <si>
    <t>kg</t>
  </si>
  <si>
    <t>Coeficiente de balasto C1=</t>
  </si>
  <si>
    <t xml:space="preserve"> rigidez kz=</t>
  </si>
  <si>
    <t>kg/cm</t>
  </si>
  <si>
    <t>asent. (St)=</t>
  </si>
  <si>
    <t>cm</t>
  </si>
  <si>
    <t>asent. analitico (St)=</t>
  </si>
  <si>
    <t>mm</t>
  </si>
  <si>
    <t>metodo elastico (St)=</t>
  </si>
  <si>
    <t>Período Fundamental de Vibración</t>
  </si>
  <si>
    <t>El período fundamental de vibración para cada dirección se estimará con la siguiente expresión:</t>
  </si>
  <si>
    <t>T = hn/CT</t>
  </si>
  <si>
    <t>CT=</t>
  </si>
  <si>
    <t>hn=</t>
  </si>
  <si>
    <t>T=</t>
  </si>
  <si>
    <t>segundos</t>
  </si>
  <si>
    <t>a) Para T menor o igual a 0,5 segundos: k = 1,0.</t>
  </si>
  <si>
    <t>b) Para T mayor que 0,5 segundos: k = (0,75 + 0,5 T) ≤ 2,0.</t>
  </si>
  <si>
    <t>k=</t>
  </si>
  <si>
    <t>≤</t>
  </si>
  <si>
    <t>si cumple</t>
  </si>
  <si>
    <t>El valor de C/R no deberá considerarse menor que:</t>
  </si>
  <si>
    <t>C/R &gt; 0.125</t>
  </si>
  <si>
    <t xml:space="preserve">&gt; </t>
  </si>
  <si>
    <t>R=</t>
  </si>
  <si>
    <t>Ro*Ia*Ip</t>
  </si>
  <si>
    <t>Ro=</t>
  </si>
  <si>
    <t>Ia=</t>
  </si>
  <si>
    <t>Ip=</t>
  </si>
  <si>
    <t>Tp=</t>
  </si>
  <si>
    <t>tanteo</t>
  </si>
  <si>
    <t>TL=</t>
  </si>
  <si>
    <t>L^4</t>
  </si>
  <si>
    <t>menor</t>
  </si>
  <si>
    <t>caso 1</t>
  </si>
  <si>
    <t>T &lt; TP</t>
  </si>
  <si>
    <t xml:space="preserve">&lt; </t>
  </si>
  <si>
    <t>C=2.5</t>
  </si>
  <si>
    <t>igual</t>
  </si>
  <si>
    <t>caso 2</t>
  </si>
  <si>
    <t>TP &lt; T &lt; TL</t>
  </si>
  <si>
    <t xml:space="preserve"> &lt;</t>
  </si>
  <si>
    <t>&lt;</t>
  </si>
  <si>
    <t>C=2.5*(Tp/T)</t>
  </si>
  <si>
    <t>C=</t>
  </si>
  <si>
    <t>mayor</t>
  </si>
  <si>
    <t>caso 3</t>
  </si>
  <si>
    <t>T &gt; TL</t>
  </si>
  <si>
    <t>&gt;</t>
  </si>
  <si>
    <t>C = 2,5 ∙ ( TP ∙ TL/T² )</t>
  </si>
  <si>
    <t>Espectro de pseudo aceleraciones (Sa).</t>
  </si>
  <si>
    <t>Inv=</t>
  </si>
  <si>
    <t>x10^-6</t>
  </si>
  <si>
    <t>Sa = Z*U*S*C/R</t>
  </si>
  <si>
    <t>Inc=</t>
  </si>
  <si>
    <t>I</t>
  </si>
  <si>
    <t>Z=</t>
  </si>
  <si>
    <t>U=</t>
  </si>
  <si>
    <t>S=</t>
  </si>
  <si>
    <t>Rigidez de colum.</t>
  </si>
  <si>
    <t>In</t>
  </si>
  <si>
    <t>elasticidad</t>
  </si>
  <si>
    <t>Fuerza Cortante en la Base (V):</t>
  </si>
  <si>
    <t>Fi=</t>
  </si>
  <si>
    <t>α *V</t>
  </si>
  <si>
    <t>V = (Z ∙ U ∙ C ∙ S/R) ∙ P</t>
  </si>
  <si>
    <t>α=</t>
  </si>
  <si>
    <t>pi*(∑hi)^k/(∑pi*(∑hi)^k)</t>
  </si>
  <si>
    <t>piso 1</t>
  </si>
  <si>
    <t>Rigidez total</t>
  </si>
  <si>
    <t>Analisis estatito</t>
  </si>
  <si>
    <t>k1=</t>
  </si>
  <si>
    <t>Rigidez de viga (X-X)</t>
  </si>
  <si>
    <t>numero de piso</t>
  </si>
  <si>
    <t>altura h</t>
  </si>
  <si>
    <t>peso</t>
  </si>
  <si>
    <t>∑hi</t>
  </si>
  <si>
    <t>fi</t>
  </si>
  <si>
    <t>Hi (cortantes</t>
  </si>
  <si>
    <t>ki</t>
  </si>
  <si>
    <t>pi*(∑hi)^k</t>
  </si>
  <si>
    <t>α</t>
  </si>
  <si>
    <t>Elasticidad</t>
  </si>
  <si>
    <t>inercia</t>
  </si>
  <si>
    <t>In=</t>
  </si>
  <si>
    <t>N° de colum</t>
  </si>
  <si>
    <t>nc=</t>
  </si>
  <si>
    <t>altura de piso</t>
  </si>
  <si>
    <r>
      <t>h</t>
    </r>
    <r>
      <rPr>
        <b/>
        <sz val="11"/>
        <color theme="1"/>
        <rFont val="Calibri"/>
        <family val="2"/>
      </rPr>
      <t>³</t>
    </r>
    <r>
      <rPr>
        <b/>
        <sz val="11"/>
        <color theme="1"/>
        <rFont val="Calibri"/>
        <family val="2"/>
        <scheme val="minor"/>
      </rPr>
      <t>=</t>
    </r>
  </si>
  <si>
    <t>piso 2 a 8</t>
  </si>
  <si>
    <t>K2=</t>
  </si>
  <si>
    <t>Rigidez de viga (Y-Y)</t>
  </si>
  <si>
    <t>k2,8=</t>
  </si>
  <si>
    <t>concreto armado</t>
  </si>
  <si>
    <t>Desplaz (ϫ) Relativ</t>
  </si>
  <si>
    <t>∑x</t>
  </si>
  <si>
    <t>Drift= (ϫ/h)*(3/4*R) (distorision)</t>
  </si>
  <si>
    <t>MENOR  drift (norma0.70)</t>
  </si>
  <si>
    <t>Desplaz (ϫ)</t>
  </si>
  <si>
    <t>d=∑x</t>
  </si>
  <si>
    <t>p</t>
  </si>
  <si>
    <t>P*d^2</t>
  </si>
  <si>
    <t>fi*d</t>
  </si>
  <si>
    <t>fuerza</t>
  </si>
  <si>
    <t>F = k * Desplazamiento</t>
  </si>
  <si>
    <t>Desplazamiento</t>
  </si>
  <si>
    <r>
      <rPr>
        <b/>
        <sz val="16"/>
        <color theme="1"/>
        <rFont val="Calibri"/>
        <family val="2"/>
      </rPr>
      <t>ϫ=</t>
    </r>
    <r>
      <rPr>
        <b/>
        <sz val="11"/>
        <color theme="1"/>
        <rFont val="Calibri"/>
        <family val="2"/>
      </rPr>
      <t xml:space="preserve"> F/Ki</t>
    </r>
  </si>
  <si>
    <t>En conclusion: no necesita mas muros de albañileria confinada</t>
  </si>
  <si>
    <t>TOTAL</t>
  </si>
  <si>
    <r>
      <t>2*</t>
    </r>
    <r>
      <rPr>
        <b/>
        <sz val="11"/>
        <color theme="1"/>
        <rFont val="Calibri"/>
        <family val="2"/>
      </rPr>
      <t>π</t>
    </r>
  </si>
  <si>
    <r>
      <rPr>
        <b/>
        <sz val="11"/>
        <color theme="1"/>
        <rFont val="Calibri"/>
        <family val="2"/>
      </rPr>
      <t>√(</t>
    </r>
    <r>
      <rPr>
        <b/>
        <sz val="11"/>
        <color theme="1"/>
        <rFont val="Calibri"/>
        <family val="2"/>
        <scheme val="minor"/>
      </rPr>
      <t>P*d^2/ (9.81*fi*d)</t>
    </r>
  </si>
  <si>
    <t>seg</t>
  </si>
  <si>
    <t>Analisis dinamico</t>
  </si>
  <si>
    <t>Metodo Rayleigh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</si>
</sst>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D5DFA3"/>
        <bgColor indexed="64"/>
      </patternFill>
    </fill>
    <fill>
      <patternFill patternType="solid">
        <fgColor rgb="FFC1B2D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80">
    <xf numFmtId="0" fontId="0" fillId="0" borderId="0" xfId="0"/>
    <xf numFmtId="0" fontId="0" fillId="3" borderId="1" xfId="0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/>
    <xf numFmtId="0" fontId="0" fillId="0" borderId="9" xfId="0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2" xfId="0" applyFill="1" applyBorder="1"/>
    <xf numFmtId="0" fontId="0" fillId="0" borderId="1" xfId="0" applyBorder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2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3" borderId="28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2" fillId="11" borderId="18" xfId="0" applyFont="1" applyFill="1" applyBorder="1" applyAlignment="1">
      <alignment horizontal="center"/>
    </xf>
    <xf numFmtId="0" fontId="2" fillId="11" borderId="2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/>
    </xf>
    <xf numFmtId="0" fontId="2" fillId="10" borderId="18" xfId="0" applyFont="1" applyFill="1" applyBorder="1" applyAlignment="1">
      <alignment horizontal="center"/>
    </xf>
    <xf numFmtId="0" fontId="2" fillId="10" borderId="2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7" borderId="2" xfId="0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/>
    </xf>
    <xf numFmtId="0" fontId="2" fillId="9" borderId="18" xfId="0" applyFont="1" applyFill="1" applyBorder="1" applyAlignment="1">
      <alignment horizontal="center"/>
    </xf>
    <xf numFmtId="0" fontId="2" fillId="9" borderId="2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8" borderId="18" xfId="0" applyFont="1" applyFill="1" applyBorder="1" applyAlignment="1">
      <alignment horizontal="center"/>
    </xf>
    <xf numFmtId="0" fontId="2" fillId="8" borderId="22" xfId="0" applyFont="1" applyFill="1" applyBorder="1" applyAlignment="1">
      <alignment horizontal="center"/>
    </xf>
    <xf numFmtId="0" fontId="2" fillId="12" borderId="2" xfId="0" applyFont="1" applyFill="1" applyBorder="1" applyAlignment="1">
      <alignment horizontal="center"/>
    </xf>
    <xf numFmtId="0" fontId="2" fillId="12" borderId="18" xfId="0" applyFont="1" applyFill="1" applyBorder="1" applyAlignment="1">
      <alignment horizontal="center"/>
    </xf>
    <xf numFmtId="0" fontId="2" fillId="12" borderId="22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8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2" fillId="0" borderId="22" xfId="0" applyFont="1" applyBorder="1" applyAlignment="1">
      <alignment horizontal="right"/>
    </xf>
    <xf numFmtId="165" fontId="2" fillId="0" borderId="16" xfId="0" applyNumberFormat="1" applyFont="1" applyBorder="1" applyAlignment="1">
      <alignment horizontal="center" vertical="center"/>
    </xf>
    <xf numFmtId="0" fontId="2" fillId="0" borderId="22" xfId="0" applyFont="1" applyBorder="1"/>
    <xf numFmtId="0" fontId="2" fillId="5" borderId="20" xfId="0" applyFont="1" applyFill="1" applyBorder="1" applyAlignment="1">
      <alignment horizontal="right"/>
    </xf>
    <xf numFmtId="0" fontId="2" fillId="0" borderId="7" xfId="0" applyFont="1" applyBorder="1" applyAlignment="1"/>
    <xf numFmtId="0" fontId="2" fillId="0" borderId="14" xfId="0" applyFont="1" applyBorder="1" applyAlignment="1"/>
    <xf numFmtId="166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2" fillId="14" borderId="2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166" fontId="0" fillId="0" borderId="6" xfId="0" applyNumberForma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12" borderId="0" xfId="0" applyFont="1" applyFill="1" applyBorder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2" borderId="28" xfId="0" applyFont="1" applyFill="1" applyBorder="1"/>
    <xf numFmtId="0" fontId="2" fillId="2" borderId="28" xfId="0" applyFont="1" applyFill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167" fontId="0" fillId="0" borderId="4" xfId="0" applyNumberFormat="1" applyBorder="1" applyAlignment="1"/>
    <xf numFmtId="0" fontId="0" fillId="0" borderId="17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2" fillId="14" borderId="2" xfId="0" applyNumberFormat="1" applyFont="1" applyFill="1" applyBorder="1" applyAlignment="1">
      <alignment horizontal="center" vertical="center"/>
    </xf>
    <xf numFmtId="0" fontId="2" fillId="5" borderId="1" xfId="0" applyFont="1" applyFill="1" applyBorder="1"/>
    <xf numFmtId="164" fontId="2" fillId="0" borderId="16" xfId="0" applyNumberFormat="1" applyFont="1" applyBorder="1" applyAlignment="1">
      <alignment horizontal="center"/>
    </xf>
    <xf numFmtId="164" fontId="2" fillId="0" borderId="22" xfId="0" applyNumberFormat="1" applyFont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2" fillId="5" borderId="21" xfId="0" applyNumberFormat="1" applyFont="1" applyFill="1" applyBorder="1" applyAlignment="1">
      <alignment horizontal="center"/>
    </xf>
    <xf numFmtId="164" fontId="2" fillId="0" borderId="20" xfId="0" applyNumberFormat="1" applyFont="1" applyBorder="1" applyAlignment="1">
      <alignment horizontal="center" vertical="center"/>
    </xf>
    <xf numFmtId="0" fontId="2" fillId="6" borderId="8" xfId="0" applyFont="1" applyFill="1" applyBorder="1" applyAlignment="1"/>
    <xf numFmtId="0" fontId="2" fillId="6" borderId="10" xfId="0" applyFont="1" applyFill="1" applyBorder="1" applyAlignment="1"/>
    <xf numFmtId="0" fontId="2" fillId="6" borderId="9" xfId="0" applyFont="1" applyFill="1" applyBorder="1" applyAlignment="1"/>
    <xf numFmtId="0" fontId="2" fillId="0" borderId="0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2" fillId="6" borderId="0" xfId="0" applyFont="1" applyFill="1" applyBorder="1" applyAlignment="1"/>
    <xf numFmtId="0" fontId="0" fillId="0" borderId="11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0" fontId="2" fillId="0" borderId="6" xfId="0" applyFont="1" applyBorder="1"/>
    <xf numFmtId="0" fontId="2" fillId="0" borderId="2" xfId="0" applyFont="1" applyBorder="1"/>
    <xf numFmtId="2" fontId="2" fillId="5" borderId="1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2" fillId="9" borderId="8" xfId="0" applyFont="1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12" borderId="10" xfId="0" applyFont="1" applyFill="1" applyBorder="1" applyAlignment="1">
      <alignment horizontal="center"/>
    </xf>
    <xf numFmtId="0" fontId="2" fillId="12" borderId="16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9" borderId="16" xfId="0" applyFont="1" applyFill="1" applyBorder="1" applyAlignment="1">
      <alignment horizontal="center"/>
    </xf>
    <xf numFmtId="0" fontId="2" fillId="9" borderId="17" xfId="0" applyFont="1" applyFill="1" applyBorder="1" applyAlignment="1">
      <alignment horizontal="center"/>
    </xf>
    <xf numFmtId="0" fontId="2" fillId="10" borderId="8" xfId="0" applyFont="1" applyFill="1" applyBorder="1" applyAlignment="1">
      <alignment horizontal="center"/>
    </xf>
    <xf numFmtId="0" fontId="2" fillId="10" borderId="16" xfId="0" applyFont="1" applyFill="1" applyBorder="1" applyAlignment="1">
      <alignment horizontal="center"/>
    </xf>
    <xf numFmtId="0" fontId="2" fillId="10" borderId="17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2" fillId="11" borderId="16" xfId="0" applyFont="1" applyFill="1" applyBorder="1" applyAlignment="1">
      <alignment horizontal="center"/>
    </xf>
    <xf numFmtId="0" fontId="2" fillId="11" borderId="17" xfId="0" applyFont="1" applyFill="1" applyBorder="1" applyAlignment="1">
      <alignment horizontal="center"/>
    </xf>
    <xf numFmtId="0" fontId="2" fillId="11" borderId="0" xfId="0" applyFont="1" applyFill="1" applyBorder="1" applyAlignment="1">
      <alignment horizontal="center"/>
    </xf>
    <xf numFmtId="0" fontId="2" fillId="11" borderId="8" xfId="0" applyFont="1" applyFill="1" applyBorder="1" applyAlignment="1">
      <alignment horizontal="center"/>
    </xf>
    <xf numFmtId="0" fontId="2" fillId="11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4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28" xfId="0" applyNumberFormat="1" applyFont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/>
    </xf>
    <xf numFmtId="2" fontId="0" fillId="0" borderId="22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2" fillId="5" borderId="2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47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4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 wrapText="1"/>
    </xf>
    <xf numFmtId="2" fontId="2" fillId="0" borderId="30" xfId="0" applyNumberFormat="1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0" fillId="0" borderId="28" xfId="0" applyNumberFormat="1" applyFont="1" applyBorder="1" applyAlignment="1">
      <alignment horizontal="center"/>
    </xf>
    <xf numFmtId="2" fontId="0" fillId="0" borderId="30" xfId="0" applyNumberFormat="1" applyFont="1" applyBorder="1" applyAlignment="1">
      <alignment horizontal="center"/>
    </xf>
    <xf numFmtId="2" fontId="0" fillId="0" borderId="22" xfId="0" applyNumberFormat="1" applyFont="1" applyBorder="1" applyAlignment="1">
      <alignment horizontal="center"/>
    </xf>
    <xf numFmtId="2" fontId="0" fillId="0" borderId="28" xfId="0" applyNumberFormat="1" applyFont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/>
    </xf>
    <xf numFmtId="2" fontId="0" fillId="0" borderId="22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2" fontId="2" fillId="5" borderId="8" xfId="0" applyNumberFormat="1" applyFont="1" applyFill="1" applyBorder="1" applyAlignment="1">
      <alignment horizontal="center" vertical="center"/>
    </xf>
    <xf numFmtId="2" fontId="2" fillId="5" borderId="10" xfId="0" applyNumberFormat="1" applyFont="1" applyFill="1" applyBorder="1" applyAlignment="1">
      <alignment horizontal="center" vertical="center"/>
    </xf>
    <xf numFmtId="2" fontId="2" fillId="5" borderId="9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164" fontId="2" fillId="5" borderId="7" xfId="0" applyNumberFormat="1" applyFont="1" applyFill="1" applyBorder="1" applyAlignment="1">
      <alignment horizontal="center" vertical="center"/>
    </xf>
    <xf numFmtId="164" fontId="2" fillId="5" borderId="14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164" fontId="2" fillId="5" borderId="13" xfId="0" applyNumberFormat="1" applyFont="1" applyFill="1" applyBorder="1" applyAlignment="1">
      <alignment horizontal="center" vertical="center"/>
    </xf>
    <xf numFmtId="164" fontId="2" fillId="5" borderId="12" xfId="0" applyNumberFormat="1" applyFont="1" applyFill="1" applyBorder="1" applyAlignment="1">
      <alignment horizontal="center" vertical="center"/>
    </xf>
    <xf numFmtId="164" fontId="2" fillId="5" borderId="43" xfId="0" applyNumberFormat="1" applyFont="1" applyFill="1" applyBorder="1" applyAlignment="1">
      <alignment horizontal="center" vertical="center"/>
    </xf>
    <xf numFmtId="164" fontId="2" fillId="5" borderId="44" xfId="0" applyNumberFormat="1" applyFont="1" applyFill="1" applyBorder="1" applyAlignment="1">
      <alignment horizontal="center" vertical="center"/>
    </xf>
    <xf numFmtId="164" fontId="2" fillId="5" borderId="45" xfId="0" applyNumberFormat="1" applyFont="1" applyFill="1" applyBorder="1" applyAlignment="1">
      <alignment horizontal="center" vertical="center"/>
    </xf>
    <xf numFmtId="164" fontId="2" fillId="5" borderId="41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5" borderId="8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1" xfId="0" applyNumberFormat="1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/>
    </xf>
    <xf numFmtId="2" fontId="2" fillId="5" borderId="10" xfId="0" applyNumberFormat="1" applyFon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165" fontId="0" fillId="3" borderId="13" xfId="0" applyNumberFormat="1" applyFill="1" applyBorder="1" applyAlignment="1">
      <alignment horizontal="center"/>
    </xf>
    <xf numFmtId="165" fontId="0" fillId="3" borderId="12" xfId="0" applyNumberFormat="1" applyFill="1" applyBorder="1" applyAlignment="1">
      <alignment horizontal="center"/>
    </xf>
    <xf numFmtId="165" fontId="0" fillId="3" borderId="43" xfId="0" applyNumberFormat="1" applyFill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2" fontId="0" fillId="0" borderId="45" xfId="0" applyNumberFormat="1" applyBorder="1" applyAlignment="1">
      <alignment horizontal="center"/>
    </xf>
    <xf numFmtId="2" fontId="0" fillId="0" borderId="41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10" borderId="8" xfId="0" applyFont="1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2" fillId="10" borderId="9" xfId="0" applyFont="1" applyFill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center" vertical="center"/>
    </xf>
    <xf numFmtId="0" fontId="2" fillId="13" borderId="5" xfId="0" applyFont="1" applyFill="1" applyBorder="1" applyAlignment="1">
      <alignment horizontal="center" vertical="center"/>
    </xf>
    <xf numFmtId="0" fontId="2" fillId="13" borderId="6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0" fontId="2" fillId="0" borderId="43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39" xfId="0" applyFont="1" applyBorder="1" applyAlignment="1">
      <alignment horizontal="right" vertical="center"/>
    </xf>
    <xf numFmtId="0" fontId="2" fillId="0" borderId="44" xfId="0" applyFont="1" applyBorder="1" applyAlignment="1">
      <alignment horizontal="right" vertical="center"/>
    </xf>
    <xf numFmtId="0" fontId="2" fillId="0" borderId="41" xfId="0" applyFont="1" applyBorder="1" applyAlignment="1">
      <alignment horizontal="right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2" fontId="0" fillId="5" borderId="10" xfId="0" applyNumberFormat="1" applyFill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10" borderId="8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11" borderId="16" xfId="0" applyFont="1" applyFill="1" applyBorder="1" applyAlignment="1">
      <alignment horizontal="center"/>
    </xf>
    <xf numFmtId="0" fontId="2" fillId="11" borderId="17" xfId="0" applyFont="1" applyFill="1" applyBorder="1" applyAlignment="1">
      <alignment horizontal="center"/>
    </xf>
    <xf numFmtId="0" fontId="2" fillId="11" borderId="0" xfId="0" applyFont="1" applyFill="1" applyBorder="1" applyAlignment="1">
      <alignment horizontal="center"/>
    </xf>
    <xf numFmtId="0" fontId="2" fillId="11" borderId="1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/>
    </xf>
    <xf numFmtId="0" fontId="2" fillId="11" borderId="10" xfId="0" applyFont="1" applyFill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11" borderId="9" xfId="0" applyFont="1" applyFill="1" applyBorder="1" applyAlignment="1">
      <alignment horizontal="center"/>
    </xf>
    <xf numFmtId="0" fontId="2" fillId="8" borderId="8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 vertical="center"/>
    </xf>
    <xf numFmtId="2" fontId="0" fillId="0" borderId="6" xfId="0" applyNumberFormat="1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/>
    </xf>
    <xf numFmtId="0" fontId="2" fillId="8" borderId="17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8" borderId="15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2" fillId="9" borderId="8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2" fillId="9" borderId="9" xfId="0" applyFont="1" applyFill="1" applyBorder="1" applyAlignment="1">
      <alignment horizontal="center"/>
    </xf>
    <xf numFmtId="0" fontId="2" fillId="9" borderId="16" xfId="0" applyFont="1" applyFill="1" applyBorder="1" applyAlignment="1">
      <alignment horizontal="center"/>
    </xf>
    <xf numFmtId="0" fontId="2" fillId="9" borderId="17" xfId="0" applyFont="1" applyFill="1" applyBorder="1" applyAlignment="1">
      <alignment horizontal="center"/>
    </xf>
    <xf numFmtId="0" fontId="2" fillId="9" borderId="15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/>
    </xf>
    <xf numFmtId="0" fontId="2" fillId="10" borderId="17" xfId="0" applyFont="1" applyFill="1" applyBorder="1" applyAlignment="1">
      <alignment horizontal="center"/>
    </xf>
    <xf numFmtId="0" fontId="2" fillId="10" borderId="15" xfId="0" applyFont="1" applyFill="1" applyBorder="1" applyAlignment="1">
      <alignment horizontal="center"/>
    </xf>
    <xf numFmtId="0" fontId="2" fillId="12" borderId="8" xfId="0" applyFont="1" applyFill="1" applyBorder="1" applyAlignment="1">
      <alignment horizontal="center" vertical="center"/>
    </xf>
    <xf numFmtId="0" fontId="2" fillId="12" borderId="10" xfId="0" applyFont="1" applyFill="1" applyBorder="1" applyAlignment="1">
      <alignment horizontal="center" vertical="center"/>
    </xf>
    <xf numFmtId="0" fontId="2" fillId="12" borderId="9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12" borderId="8" xfId="0" applyFont="1" applyFill="1" applyBorder="1" applyAlignment="1">
      <alignment horizontal="center"/>
    </xf>
    <xf numFmtId="0" fontId="2" fillId="12" borderId="10" xfId="0" applyFont="1" applyFill="1" applyBorder="1" applyAlignment="1">
      <alignment horizontal="center"/>
    </xf>
    <xf numFmtId="0" fontId="2" fillId="12" borderId="9" xfId="0" applyFont="1" applyFill="1" applyBorder="1" applyAlignment="1">
      <alignment horizontal="center"/>
    </xf>
    <xf numFmtId="0" fontId="2" fillId="12" borderId="16" xfId="0" applyFont="1" applyFill="1" applyBorder="1" applyAlignment="1">
      <alignment horizontal="center"/>
    </xf>
    <xf numFmtId="0" fontId="2" fillId="12" borderId="17" xfId="0" applyFont="1" applyFill="1" applyBorder="1" applyAlignment="1">
      <alignment horizontal="center"/>
    </xf>
    <xf numFmtId="0" fontId="2" fillId="12" borderId="15" xfId="0" applyFont="1" applyFill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7" fontId="2" fillId="0" borderId="49" xfId="0" applyNumberFormat="1" applyFont="1" applyBorder="1" applyAlignment="1">
      <alignment horizontal="center" vertical="center"/>
    </xf>
    <xf numFmtId="167" fontId="2" fillId="0" borderId="50" xfId="0" applyNumberFormat="1" applyFont="1" applyBorder="1" applyAlignment="1">
      <alignment horizontal="center" vertical="center"/>
    </xf>
    <xf numFmtId="167" fontId="2" fillId="0" borderId="51" xfId="0" applyNumberFormat="1" applyFont="1" applyBorder="1" applyAlignment="1">
      <alignment horizontal="center" vertical="center"/>
    </xf>
    <xf numFmtId="167" fontId="2" fillId="0" borderId="52" xfId="0" applyNumberFormat="1" applyFont="1" applyBorder="1" applyAlignment="1">
      <alignment horizontal="center" vertical="center"/>
    </xf>
    <xf numFmtId="167" fontId="2" fillId="0" borderId="53" xfId="0" applyNumberFormat="1" applyFont="1" applyBorder="1" applyAlignment="1">
      <alignment horizontal="center" vertical="center"/>
    </xf>
    <xf numFmtId="167" fontId="2" fillId="0" borderId="54" xfId="0" applyNumberFormat="1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22" xfId="0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43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2" fontId="2" fillId="0" borderId="44" xfId="0" applyNumberFormat="1" applyFont="1" applyBorder="1" applyAlignment="1">
      <alignment horizontal="center" vertical="center"/>
    </xf>
    <xf numFmtId="2" fontId="2" fillId="0" borderId="45" xfId="0" applyNumberFormat="1" applyFont="1" applyBorder="1" applyAlignment="1">
      <alignment horizontal="center" vertical="center"/>
    </xf>
    <xf numFmtId="2" fontId="2" fillId="0" borderId="41" xfId="0" applyNumberFormat="1" applyFont="1" applyBorder="1" applyAlignment="1">
      <alignment horizontal="center" vertical="center"/>
    </xf>
    <xf numFmtId="0" fontId="0" fillId="0" borderId="1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6" xfId="0" applyFill="1" applyBorder="1" applyAlignment="1">
      <alignment horizontal="center"/>
    </xf>
    <xf numFmtId="0" fontId="0" fillId="0" borderId="55" xfId="0" applyFill="1" applyBorder="1" applyAlignment="1">
      <alignment horizontal="center"/>
    </xf>
    <xf numFmtId="0" fontId="0" fillId="0" borderId="47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32" xfId="0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D5DFA3"/>
      <color rgb="FFC1B2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206375</xdr:colOff>
      <xdr:row>48</xdr:row>
      <xdr:rowOff>0</xdr:rowOff>
    </xdr:from>
    <xdr:to>
      <xdr:col>12</xdr:col>
      <xdr:colOff>344762</xdr:colOff>
      <xdr:row>56</xdr:row>
      <xdr:rowOff>130175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500" y="9747250"/>
          <a:ext cx="4638675" cy="1781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174625</xdr:colOff>
      <xdr:row>49</xdr:row>
      <xdr:rowOff>142875</xdr:rowOff>
    </xdr:from>
    <xdr:to>
      <xdr:col>18</xdr:col>
      <xdr:colOff>498475</xdr:colOff>
      <xdr:row>56</xdr:row>
      <xdr:rowOff>174625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93250" y="10096500"/>
          <a:ext cx="1847850" cy="147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238125</xdr:colOff>
      <xdr:row>44</xdr:row>
      <xdr:rowOff>0</xdr:rowOff>
    </xdr:from>
    <xdr:to>
      <xdr:col>15</xdr:col>
      <xdr:colOff>161378</xdr:colOff>
      <xdr:row>46</xdr:row>
      <xdr:rowOff>168275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8921750"/>
          <a:ext cx="163830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142875</xdr:colOff>
      <xdr:row>42</xdr:row>
      <xdr:rowOff>31750</xdr:rowOff>
    </xdr:from>
    <xdr:to>
      <xdr:col>27</xdr:col>
      <xdr:colOff>1048845</xdr:colOff>
      <xdr:row>49</xdr:row>
      <xdr:rowOff>120649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71500" y="8556625"/>
          <a:ext cx="6143625" cy="153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12590</xdr:colOff>
      <xdr:row>58</xdr:row>
      <xdr:rowOff>164225</xdr:rowOff>
    </xdr:from>
    <xdr:to>
      <xdr:col>16</xdr:col>
      <xdr:colOff>213490</xdr:colOff>
      <xdr:row>69</xdr:row>
      <xdr:rowOff>195375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8754" y="12530303"/>
          <a:ext cx="4372193" cy="24945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497051</xdr:colOff>
      <xdr:row>71</xdr:row>
      <xdr:rowOff>125357</xdr:rowOff>
    </xdr:from>
    <xdr:to>
      <xdr:col>15</xdr:col>
      <xdr:colOff>51237</xdr:colOff>
      <xdr:row>78</xdr:row>
      <xdr:rowOff>52333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6835" y="15348935"/>
          <a:ext cx="3955393" cy="1306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18</xdr:col>
      <xdr:colOff>82113</xdr:colOff>
      <xdr:row>95</xdr:row>
      <xdr:rowOff>65688</xdr:rowOff>
    </xdr:from>
    <xdr:ext cx="1297370" cy="4269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uadroTexto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13170777" y="20018921"/>
              <a:ext cx="1297370" cy="4269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PE" sz="1600"/>
                <a:t>k =</a:t>
              </a:r>
              <a:r>
                <a:rPr lang="es-PE" sz="1600" baseline="0"/>
                <a:t> </a:t>
              </a:r>
              <a14:m>
                <m:oMath xmlns:m="http://schemas.openxmlformats.org/officeDocument/2006/math">
                  <m:f>
                    <m:fPr>
                      <m:ctrlPr>
                        <a:rPr lang="es-PE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PE" sz="1600" b="0" i="1">
                          <a:latin typeface="Cambria Math" panose="02040503050406030204" pitchFamily="18" charset="0"/>
                        </a:rPr>
                        <m:t>12∗</m:t>
                      </m:r>
                      <m:r>
                        <a:rPr lang="es-PE" sz="1600" b="0" i="1">
                          <a:latin typeface="Cambria Math" panose="02040503050406030204" pitchFamily="18" charset="0"/>
                        </a:rPr>
                        <m:t>𝐸</m:t>
                      </m:r>
                      <m:r>
                        <a:rPr lang="es-PE" sz="1600" b="0" i="1">
                          <a:latin typeface="Cambria Math" panose="02040503050406030204" pitchFamily="18" charset="0"/>
                        </a:rPr>
                        <m:t>∗</m:t>
                      </m:r>
                      <m:r>
                        <a:rPr lang="es-PE" sz="1600" b="0" i="1">
                          <a:latin typeface="Cambria Math" panose="02040503050406030204" pitchFamily="18" charset="0"/>
                        </a:rPr>
                        <m:t>𝐼𝑛</m:t>
                      </m:r>
                    </m:num>
                    <m:den>
                      <m:r>
                        <a:rPr lang="es-PE" sz="1600" b="0" i="1">
                          <a:latin typeface="Cambria Math" panose="02040503050406030204" pitchFamily="18" charset="0"/>
                        </a:rPr>
                        <m:t>h</m:t>
                      </m:r>
                      <m:r>
                        <a:rPr lang="es-PE" sz="1600" b="0" i="1">
                          <a:latin typeface="Cambria Math" panose="02040503050406030204" pitchFamily="18" charset="0"/>
                        </a:rPr>
                        <m:t>³</m:t>
                      </m:r>
                    </m:den>
                  </m:f>
                  <m:r>
                    <a:rPr lang="es-PE" sz="1600" b="0" i="1">
                      <a:latin typeface="Cambria Math" panose="02040503050406030204" pitchFamily="18" charset="0"/>
                    </a:rPr>
                    <m:t>∗</m:t>
                  </m:r>
                  <m:r>
                    <a:rPr lang="es-PE" sz="1600" b="0" i="1">
                      <a:latin typeface="Cambria Math" panose="02040503050406030204" pitchFamily="18" charset="0"/>
                    </a:rPr>
                    <m:t>𝑛𝑐</m:t>
                  </m:r>
                </m:oMath>
              </a14:m>
              <a:endParaRPr lang="es-PE" sz="1600"/>
            </a:p>
          </xdr:txBody>
        </xdr:sp>
      </mc:Choice>
      <mc:Fallback xmlns="">
        <xdr:sp macro="" textlink="">
          <xdr:nvSpPr>
            <xdr:cNvPr id="17" name="CuadroTexto 16"/>
            <xdr:cNvSpPr txBox="1"/>
          </xdr:nvSpPr>
          <xdr:spPr>
            <a:xfrm>
              <a:off x="13170777" y="20018921"/>
              <a:ext cx="1297370" cy="4269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PE" sz="1600"/>
                <a:t>k =</a:t>
              </a:r>
              <a:r>
                <a:rPr lang="es-PE" sz="1600" baseline="0"/>
                <a:t> </a:t>
              </a:r>
              <a:r>
                <a:rPr lang="es-PE" sz="1600" i="0">
                  <a:latin typeface="Cambria Math" panose="02040503050406030204" pitchFamily="18" charset="0"/>
                </a:rPr>
                <a:t>(</a:t>
              </a:r>
              <a:r>
                <a:rPr lang="es-PE" sz="1600" b="0" i="0">
                  <a:latin typeface="Cambria Math" panose="02040503050406030204" pitchFamily="18" charset="0"/>
                </a:rPr>
                <a:t>12∗𝐸∗𝐼𝑛)/ℎ³∗𝑛𝑐</a:t>
              </a:r>
              <a:endParaRPr lang="es-PE" sz="1600"/>
            </a:p>
          </xdr:txBody>
        </xdr:sp>
      </mc:Fallback>
    </mc:AlternateContent>
    <xdr:clientData/>
  </xdr:oneCellAnchor>
  <xdr:oneCellAnchor>
    <xdr:from>
      <xdr:col>20</xdr:col>
      <xdr:colOff>180647</xdr:colOff>
      <xdr:row>95</xdr:row>
      <xdr:rowOff>131378</xdr:rowOff>
    </xdr:from>
    <xdr:ext cx="1280948" cy="34487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CuadroTexto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 txBox="1"/>
          </xdr:nvSpPr>
          <xdr:spPr>
            <a:xfrm>
              <a:off x="14106854" y="20084611"/>
              <a:ext cx="1280948" cy="344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PE" sz="1600"/>
                <a:t>In =</a:t>
              </a:r>
              <a:r>
                <a:rPr lang="es-PE" sz="1600" baseline="0"/>
                <a:t> </a:t>
              </a:r>
              <a14:m>
                <m:oMath xmlns:m="http://schemas.openxmlformats.org/officeDocument/2006/math">
                  <m:f>
                    <m:fPr>
                      <m:ctrlPr>
                        <a:rPr lang="es-PE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PE" sz="1600" b="0" i="1">
                          <a:latin typeface="Cambria Math" panose="02040503050406030204" pitchFamily="18" charset="0"/>
                        </a:rPr>
                        <m:t>1</m:t>
                      </m:r>
                    </m:num>
                    <m:den>
                      <m:r>
                        <a:rPr lang="es-PE" sz="1600" b="0" i="1">
                          <a:latin typeface="Cambria Math" panose="02040503050406030204" pitchFamily="18" charset="0"/>
                        </a:rPr>
                        <m:t>12</m:t>
                      </m:r>
                    </m:den>
                  </m:f>
                  <m:r>
                    <a:rPr lang="es-PE" sz="1600" b="0" i="1">
                      <a:latin typeface="Cambria Math" panose="02040503050406030204" pitchFamily="18" charset="0"/>
                    </a:rPr>
                    <m:t>∗</m:t>
                  </m:r>
                  <m:r>
                    <a:rPr lang="es-PE" sz="1600" b="0" i="1">
                      <a:latin typeface="Cambria Math" panose="02040503050406030204" pitchFamily="18" charset="0"/>
                    </a:rPr>
                    <m:t>𝑏</m:t>
                  </m:r>
                  <m:r>
                    <a:rPr lang="es-PE" sz="1600" b="0" i="1">
                      <a:latin typeface="Cambria Math" panose="02040503050406030204" pitchFamily="18" charset="0"/>
                    </a:rPr>
                    <m:t>∗</m:t>
                  </m:r>
                  <m:r>
                    <a:rPr lang="es-PE" sz="1600" b="0" i="1">
                      <a:latin typeface="Cambria Math" panose="02040503050406030204" pitchFamily="18" charset="0"/>
                    </a:rPr>
                    <m:t>h</m:t>
                  </m:r>
                  <m:r>
                    <a:rPr lang="es-PE" sz="1600" b="0" i="1">
                      <a:latin typeface="Cambria Math" panose="02040503050406030204" pitchFamily="18" charset="0"/>
                    </a:rPr>
                    <m:t>³</m:t>
                  </m:r>
                </m:oMath>
              </a14:m>
              <a:endParaRPr lang="es-PE" sz="1600"/>
            </a:p>
          </xdr:txBody>
        </xdr:sp>
      </mc:Choice>
      <mc:Fallback xmlns="">
        <xdr:sp macro="" textlink="">
          <xdr:nvSpPr>
            <xdr:cNvPr id="18" name="CuadroTexto 17"/>
            <xdr:cNvSpPr txBox="1"/>
          </xdr:nvSpPr>
          <xdr:spPr>
            <a:xfrm>
              <a:off x="14106854" y="20084611"/>
              <a:ext cx="1280948" cy="344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PE" sz="1600"/>
                <a:t>In =</a:t>
              </a:r>
              <a:r>
                <a:rPr lang="es-PE" sz="1600" baseline="0"/>
                <a:t> </a:t>
              </a:r>
              <a:r>
                <a:rPr lang="es-PE" sz="1600" b="0" i="0">
                  <a:latin typeface="Cambria Math" panose="02040503050406030204" pitchFamily="18" charset="0"/>
                </a:rPr>
                <a:t>1/12∗𝑏∗ℎ³</a:t>
              </a:r>
              <a:endParaRPr lang="es-PE" sz="1600"/>
            </a:p>
          </xdr:txBody>
        </xdr:sp>
      </mc:Fallback>
    </mc:AlternateContent>
    <xdr:clientData/>
  </xdr:oneCellAnchor>
  <xdr:oneCellAnchor>
    <xdr:from>
      <xdr:col>22</xdr:col>
      <xdr:colOff>228600</xdr:colOff>
      <xdr:row>95</xdr:row>
      <xdr:rowOff>157162</xdr:rowOff>
    </xdr:from>
    <xdr:ext cx="845040" cy="2049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CuadroTexto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 txBox="1"/>
          </xdr:nvSpPr>
          <xdr:spPr>
            <a:xfrm>
              <a:off x="13954125" y="9672637"/>
              <a:ext cx="845040" cy="2049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PE" sz="1100" b="0" i="1">
                        <a:latin typeface="Cambria Math" panose="02040503050406030204" pitchFamily="18" charset="0"/>
                      </a:rPr>
                      <m:t>15000∗</m:t>
                    </m:r>
                    <m:rad>
                      <m:radPr>
                        <m:degHide m:val="on"/>
                        <m:ctrlPr>
                          <a:rPr lang="es-PE" sz="11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´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</m:rad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19" name="CuadroTexto 18"/>
            <xdr:cNvSpPr txBox="1"/>
          </xdr:nvSpPr>
          <xdr:spPr>
            <a:xfrm>
              <a:off x="13954125" y="9672637"/>
              <a:ext cx="845040" cy="2049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PE" sz="1100" b="0" i="0">
                  <a:latin typeface="Cambria Math" panose="02040503050406030204" pitchFamily="18" charset="0"/>
                </a:rPr>
                <a:t>15000∗√(𝑓´𝑐)</a:t>
              </a:r>
              <a:endParaRPr lang="es-PE" sz="1100"/>
            </a:p>
          </xdr:txBody>
        </xdr:sp>
      </mc:Fallback>
    </mc:AlternateContent>
    <xdr:clientData/>
  </xdr:oneCellAnchor>
  <xdr:twoCellAnchor editAs="oneCell">
    <xdr:from>
      <xdr:col>20</xdr:col>
      <xdr:colOff>476250</xdr:colOff>
      <xdr:row>51</xdr:row>
      <xdr:rowOff>142875</xdr:rowOff>
    </xdr:from>
    <xdr:to>
      <xdr:col>27</xdr:col>
      <xdr:colOff>560113</xdr:colOff>
      <xdr:row>64</xdr:row>
      <xdr:rowOff>69850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39" t="28531" r="-12539" b="8699"/>
        <a:stretch/>
      </xdr:blipFill>
      <xdr:spPr>
        <a:xfrm>
          <a:off x="13970000" y="10541000"/>
          <a:ext cx="6076950" cy="2863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28"/>
  <sheetViews>
    <sheetView showGridLines="0" tabSelected="1" zoomScale="80" zoomScaleNormal="80" workbookViewId="0">
      <selection activeCell="H8" sqref="H8:H10"/>
    </sheetView>
  </sheetViews>
  <sheetFormatPr defaultColWidth="11.42578125" defaultRowHeight="15"/>
  <cols>
    <col min="1" max="1" width="7.7109375" customWidth="1"/>
    <col min="2" max="2" width="15.28515625" customWidth="1"/>
    <col min="3" max="3" width="15.42578125" customWidth="1"/>
    <col min="4" max="5" width="8.85546875" customWidth="1"/>
    <col min="6" max="6" width="11" customWidth="1"/>
    <col min="7" max="7" width="9.85546875" customWidth="1"/>
    <col min="8" max="8" width="8.28515625" customWidth="1"/>
    <col min="9" max="9" width="11.85546875" customWidth="1"/>
    <col min="10" max="10" width="18.85546875" customWidth="1"/>
    <col min="11" max="11" width="14.7109375" customWidth="1"/>
    <col min="12" max="12" width="13.28515625" customWidth="1"/>
    <col min="13" max="13" width="12.5703125" customWidth="1"/>
    <col min="14" max="14" width="11" customWidth="1"/>
    <col min="15" max="15" width="14.28515625" customWidth="1"/>
    <col min="26" max="28" width="16.28515625" customWidth="1"/>
    <col min="29" max="30" width="13.28515625" customWidth="1"/>
    <col min="35" max="35" width="13.42578125" customWidth="1"/>
  </cols>
  <sheetData>
    <row r="1" spans="1:35" ht="15.75" thickBot="1">
      <c r="A1" s="417" t="s">
        <v>0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  <c r="S1" s="418"/>
      <c r="T1" s="418"/>
      <c r="U1" s="418"/>
      <c r="V1" s="418"/>
      <c r="W1" s="418"/>
      <c r="X1" s="418"/>
      <c r="Y1" s="418"/>
      <c r="Z1" s="418"/>
      <c r="AA1" s="418"/>
      <c r="AB1" s="418"/>
      <c r="AC1" s="418"/>
      <c r="AD1" s="418"/>
      <c r="AE1" s="418"/>
      <c r="AF1" s="418"/>
      <c r="AG1" s="418"/>
      <c r="AH1" s="418"/>
      <c r="AI1" s="419"/>
    </row>
    <row r="2" spans="1:35" s="5" customFormat="1" ht="15.75" thickBot="1">
      <c r="A2" s="411" t="s">
        <v>1</v>
      </c>
      <c r="B2" s="412"/>
      <c r="C2" s="413"/>
      <c r="D2" s="57" t="s">
        <v>2</v>
      </c>
      <c r="E2" s="73"/>
      <c r="F2" s="45" t="s">
        <v>3</v>
      </c>
      <c r="G2" s="46" t="s">
        <v>4</v>
      </c>
      <c r="H2" s="46" t="s">
        <v>5</v>
      </c>
      <c r="I2" s="46" t="s">
        <v>6</v>
      </c>
      <c r="J2" s="414" t="s">
        <v>7</v>
      </c>
      <c r="K2" s="415"/>
      <c r="L2" s="416"/>
      <c r="M2" s="129" t="s">
        <v>8</v>
      </c>
      <c r="N2" s="57" t="s">
        <v>9</v>
      </c>
      <c r="O2" s="57" t="s">
        <v>10</v>
      </c>
      <c r="Q2" s="425" t="s">
        <v>11</v>
      </c>
      <c r="R2" s="426"/>
      <c r="S2" s="427"/>
      <c r="T2" s="58" t="s">
        <v>2</v>
      </c>
      <c r="U2" s="42" t="s">
        <v>3</v>
      </c>
      <c r="V2" s="43" t="s">
        <v>12</v>
      </c>
      <c r="W2" s="43" t="s">
        <v>13</v>
      </c>
      <c r="X2" s="43" t="s">
        <v>6</v>
      </c>
      <c r="Y2" s="428" t="s">
        <v>7</v>
      </c>
      <c r="Z2" s="429"/>
      <c r="AA2" s="430"/>
      <c r="AB2" s="430"/>
      <c r="AC2" s="431"/>
      <c r="AD2" s="134"/>
      <c r="AE2" s="132" t="s">
        <v>8</v>
      </c>
      <c r="AF2" s="134"/>
      <c r="AG2" s="134"/>
      <c r="AH2" s="58" t="s">
        <v>9</v>
      </c>
      <c r="AI2" s="58" t="s">
        <v>10</v>
      </c>
    </row>
    <row r="3" spans="1:35" ht="15.75" thickBot="1">
      <c r="A3" s="359" t="s">
        <v>14</v>
      </c>
      <c r="B3" s="353" t="s">
        <v>15</v>
      </c>
      <c r="C3" s="354"/>
      <c r="D3" s="164">
        <f>1</f>
        <v>1</v>
      </c>
      <c r="E3" s="164"/>
      <c r="F3" s="120">
        <f>30</f>
        <v>30</v>
      </c>
      <c r="G3" s="120">
        <f>0.4</f>
        <v>0.4</v>
      </c>
      <c r="H3" s="120">
        <f>0.4</f>
        <v>0.4</v>
      </c>
      <c r="I3" s="120">
        <f>5</f>
        <v>5</v>
      </c>
      <c r="J3" s="386">
        <v>2.4</v>
      </c>
      <c r="K3" s="387"/>
      <c r="L3" s="1" t="s">
        <v>16</v>
      </c>
      <c r="M3" s="155">
        <f>PRODUCT(D3:K3)</f>
        <v>57.600000000000009</v>
      </c>
      <c r="N3" s="163" t="s">
        <v>17</v>
      </c>
      <c r="O3" s="317">
        <f>M3+M4+M5+M7</f>
        <v>297.82079999999996</v>
      </c>
      <c r="Q3" s="359" t="s">
        <v>14</v>
      </c>
      <c r="R3" s="353" t="s">
        <v>15</v>
      </c>
      <c r="S3" s="354"/>
      <c r="T3" s="164">
        <f>1</f>
        <v>1</v>
      </c>
      <c r="U3" s="120">
        <f>30</f>
        <v>30</v>
      </c>
      <c r="V3" s="120">
        <f>0.4</f>
        <v>0.4</v>
      </c>
      <c r="W3" s="120">
        <f>0.4</f>
        <v>0.4</v>
      </c>
      <c r="X3" s="120">
        <v>4</v>
      </c>
      <c r="Y3" s="387">
        <v>2.4</v>
      </c>
      <c r="Z3" s="472"/>
      <c r="AA3" s="472"/>
      <c r="AB3" s="473"/>
      <c r="AC3" s="1" t="s">
        <v>16</v>
      </c>
      <c r="AD3" s="103"/>
      <c r="AE3" s="155">
        <f>PRODUCT(T3:Z3)</f>
        <v>46.080000000000005</v>
      </c>
      <c r="AF3" s="87"/>
      <c r="AG3" s="87"/>
      <c r="AH3" s="163" t="s">
        <v>17</v>
      </c>
      <c r="AI3" s="317">
        <f>AE3+AE4+AE5+AE7</f>
        <v>286.30079999999998</v>
      </c>
    </row>
    <row r="4" spans="1:35" ht="15.75" thickBot="1">
      <c r="A4" s="360"/>
      <c r="B4" s="353" t="s">
        <v>18</v>
      </c>
      <c r="C4" s="354"/>
      <c r="D4" s="155">
        <v>1</v>
      </c>
      <c r="E4" s="155"/>
      <c r="F4" s="120">
        <v>24</v>
      </c>
      <c r="G4" s="120">
        <v>5.6</v>
      </c>
      <c r="H4" s="120">
        <v>0.3</v>
      </c>
      <c r="I4" s="120">
        <v>0.6</v>
      </c>
      <c r="J4" s="386">
        <f>2.4</f>
        <v>2.4</v>
      </c>
      <c r="K4" s="386"/>
      <c r="L4" s="1" t="s">
        <v>16</v>
      </c>
      <c r="M4" s="169">
        <f>PRODUCT(D4:K4)</f>
        <v>58.060799999999986</v>
      </c>
      <c r="N4" s="154" t="s">
        <v>17</v>
      </c>
      <c r="O4" s="318"/>
      <c r="Q4" s="360"/>
      <c r="R4" s="353" t="s">
        <v>18</v>
      </c>
      <c r="S4" s="354"/>
      <c r="T4" s="155">
        <v>1</v>
      </c>
      <c r="U4" s="120">
        <v>24</v>
      </c>
      <c r="V4" s="120">
        <v>5.6</v>
      </c>
      <c r="W4" s="120">
        <v>0.3</v>
      </c>
      <c r="X4" s="120">
        <v>0.6</v>
      </c>
      <c r="Y4" s="387">
        <f>2.4</f>
        <v>2.4</v>
      </c>
      <c r="Z4" s="472"/>
      <c r="AA4" s="472"/>
      <c r="AB4" s="473"/>
      <c r="AC4" s="1" t="s">
        <v>16</v>
      </c>
      <c r="AD4" s="1"/>
      <c r="AE4" s="169">
        <f>PRODUCT(T4:Z4)</f>
        <v>58.060799999999986</v>
      </c>
      <c r="AF4" s="165"/>
      <c r="AG4" s="165"/>
      <c r="AH4" s="154" t="s">
        <v>17</v>
      </c>
      <c r="AI4" s="318"/>
    </row>
    <row r="5" spans="1:35" ht="15.75" thickBot="1">
      <c r="A5" s="360"/>
      <c r="B5" s="353" t="s">
        <v>19</v>
      </c>
      <c r="C5" s="354"/>
      <c r="D5" s="162">
        <v>1</v>
      </c>
      <c r="E5" s="162"/>
      <c r="F5" s="14">
        <v>25</v>
      </c>
      <c r="G5" s="14">
        <v>4.5999999999999996</v>
      </c>
      <c r="H5" s="14">
        <v>0.25</v>
      </c>
      <c r="I5" s="14">
        <v>0.4</v>
      </c>
      <c r="J5" s="394">
        <f>2.4</f>
        <v>2.4</v>
      </c>
      <c r="K5" s="395"/>
      <c r="L5" s="22" t="s">
        <v>16</v>
      </c>
      <c r="M5" s="14">
        <f>PRODUCT(D5:K5)</f>
        <v>27.599999999999998</v>
      </c>
      <c r="N5" s="161" t="s">
        <v>17</v>
      </c>
      <c r="O5" s="318"/>
      <c r="Q5" s="360"/>
      <c r="R5" s="353" t="s">
        <v>19</v>
      </c>
      <c r="S5" s="354"/>
      <c r="T5" s="162">
        <v>1</v>
      </c>
      <c r="U5" s="14">
        <v>25</v>
      </c>
      <c r="V5" s="14">
        <v>4.5999999999999996</v>
      </c>
      <c r="W5" s="14">
        <v>0.25</v>
      </c>
      <c r="X5" s="14">
        <v>0.4</v>
      </c>
      <c r="Y5" s="474">
        <f>2.4</f>
        <v>2.4</v>
      </c>
      <c r="Z5" s="475"/>
      <c r="AA5" s="475"/>
      <c r="AB5" s="476"/>
      <c r="AC5" s="22" t="s">
        <v>16</v>
      </c>
      <c r="AD5" s="22"/>
      <c r="AE5" s="120">
        <f>PRODUCT(T5:Z5)</f>
        <v>27.599999999999998</v>
      </c>
      <c r="AF5" s="154"/>
      <c r="AG5" s="154"/>
      <c r="AH5" s="154" t="s">
        <v>17</v>
      </c>
      <c r="AI5" s="318"/>
    </row>
    <row r="6" spans="1:35" ht="15.75" thickBot="1">
      <c r="A6" s="360"/>
      <c r="B6" s="353" t="s">
        <v>20</v>
      </c>
      <c r="C6" s="354"/>
      <c r="D6" s="329">
        <f>1</f>
        <v>1</v>
      </c>
      <c r="E6" s="74"/>
      <c r="F6" s="180">
        <v>20</v>
      </c>
      <c r="G6" s="180">
        <v>5.6</v>
      </c>
      <c r="H6" s="310">
        <v>4.5999999999999996</v>
      </c>
      <c r="I6" s="420" t="s">
        <v>21</v>
      </c>
      <c r="J6" s="421"/>
      <c r="K6" s="421"/>
      <c r="L6" s="422"/>
      <c r="M6" s="130" t="s">
        <v>8</v>
      </c>
      <c r="N6" s="44" t="s">
        <v>9</v>
      </c>
      <c r="O6" s="318"/>
      <c r="Q6" s="360"/>
      <c r="R6" s="353" t="s">
        <v>20</v>
      </c>
      <c r="S6" s="354"/>
      <c r="T6" s="329">
        <f>1</f>
        <v>1</v>
      </c>
      <c r="U6" s="180">
        <v>20</v>
      </c>
      <c r="V6" s="180">
        <v>5.6</v>
      </c>
      <c r="W6" s="310">
        <v>4.5999999999999996</v>
      </c>
      <c r="X6" s="99" t="s">
        <v>21</v>
      </c>
      <c r="Y6" s="100"/>
      <c r="Z6" s="100"/>
      <c r="AA6" s="100"/>
      <c r="AB6" s="100"/>
      <c r="AC6" s="101"/>
      <c r="AD6" s="104"/>
      <c r="AE6" s="133" t="s">
        <v>8</v>
      </c>
      <c r="AF6" s="134"/>
      <c r="AG6" s="134"/>
      <c r="AH6" s="41" t="s">
        <v>9</v>
      </c>
      <c r="AI6" s="318"/>
    </row>
    <row r="7" spans="1:35" ht="15.75" thickBot="1">
      <c r="A7" s="370"/>
      <c r="B7" s="21" t="s">
        <v>22</v>
      </c>
      <c r="C7" s="18">
        <f>0.2</f>
        <v>0.2</v>
      </c>
      <c r="D7" s="364"/>
      <c r="E7" s="131"/>
      <c r="F7" s="309"/>
      <c r="G7" s="309"/>
      <c r="H7" s="309"/>
      <c r="I7" s="365">
        <f>0.3</f>
        <v>0.3</v>
      </c>
      <c r="J7" s="423"/>
      <c r="K7" s="424"/>
      <c r="L7" s="23" t="s">
        <v>23</v>
      </c>
      <c r="M7" s="13">
        <f>PRODUCT(D6:H7,I7)</f>
        <v>154.55999999999997</v>
      </c>
      <c r="N7" s="163" t="s">
        <v>17</v>
      </c>
      <c r="O7" s="319"/>
      <c r="Q7" s="370"/>
      <c r="R7" s="21" t="s">
        <v>22</v>
      </c>
      <c r="S7" s="18">
        <f>0.2</f>
        <v>0.2</v>
      </c>
      <c r="T7" s="364"/>
      <c r="U7" s="309"/>
      <c r="V7" s="309"/>
      <c r="W7" s="309"/>
      <c r="X7" s="314">
        <f>0.3</f>
        <v>0.3</v>
      </c>
      <c r="Y7" s="315"/>
      <c r="Z7" s="315"/>
      <c r="AA7" s="315"/>
      <c r="AB7" s="316"/>
      <c r="AC7" s="23" t="s">
        <v>23</v>
      </c>
      <c r="AD7" s="23"/>
      <c r="AE7" s="120">
        <f>PRODUCT(T6:W7,X7)</f>
        <v>154.55999999999997</v>
      </c>
      <c r="AF7" s="154"/>
      <c r="AG7" s="154"/>
      <c r="AH7" s="154" t="s">
        <v>17</v>
      </c>
      <c r="AI7" s="319"/>
    </row>
    <row r="8" spans="1:35">
      <c r="A8" s="320" t="s">
        <v>24</v>
      </c>
      <c r="B8" s="323" t="s">
        <v>20</v>
      </c>
      <c r="C8" s="324"/>
      <c r="D8" s="329">
        <v>1</v>
      </c>
      <c r="E8" s="74"/>
      <c r="F8" s="180">
        <v>1</v>
      </c>
      <c r="G8" s="180">
        <f>25.4</f>
        <v>25.4</v>
      </c>
      <c r="H8" s="180">
        <f>24.4</f>
        <v>24.4</v>
      </c>
      <c r="I8" s="310">
        <f>0.2</f>
        <v>0.2</v>
      </c>
      <c r="J8" s="396"/>
      <c r="K8" s="397"/>
      <c r="L8" s="347" t="s">
        <v>23</v>
      </c>
      <c r="M8" s="329">
        <f>PRODUCT(D8:K10)*0.25</f>
        <v>30.987999999999996</v>
      </c>
      <c r="N8" s="310" t="s">
        <v>17</v>
      </c>
      <c r="O8" s="347">
        <f>M8</f>
        <v>30.987999999999996</v>
      </c>
      <c r="Q8" s="320" t="s">
        <v>24</v>
      </c>
      <c r="R8" s="323" t="s">
        <v>20</v>
      </c>
      <c r="S8" s="324"/>
      <c r="T8" s="329">
        <v>1</v>
      </c>
      <c r="U8" s="180">
        <v>1</v>
      </c>
      <c r="V8" s="180">
        <f>25.4</f>
        <v>25.4</v>
      </c>
      <c r="W8" s="180">
        <f>24.4</f>
        <v>24.4</v>
      </c>
      <c r="X8" s="310">
        <f>0.2</f>
        <v>0.2</v>
      </c>
      <c r="Y8" s="396"/>
      <c r="Z8" s="396"/>
      <c r="AA8" s="396"/>
      <c r="AB8" s="397"/>
      <c r="AC8" s="347" t="s">
        <v>23</v>
      </c>
      <c r="AD8" s="105"/>
      <c r="AE8" s="329">
        <f>PRODUCT(T8:Z10)*0.25</f>
        <v>30.987999999999996</v>
      </c>
      <c r="AF8" s="115"/>
      <c r="AG8" s="115"/>
      <c r="AH8" s="310" t="s">
        <v>17</v>
      </c>
      <c r="AI8" s="347">
        <f>AE8</f>
        <v>30.987999999999996</v>
      </c>
    </row>
    <row r="9" spans="1:35">
      <c r="A9" s="321"/>
      <c r="B9" s="325"/>
      <c r="C9" s="326"/>
      <c r="D9" s="330"/>
      <c r="E9" s="75"/>
      <c r="F9" s="339"/>
      <c r="G9" s="339"/>
      <c r="H9" s="339"/>
      <c r="I9" s="345"/>
      <c r="J9" s="398"/>
      <c r="K9" s="399"/>
      <c r="L9" s="348"/>
      <c r="M9" s="330"/>
      <c r="N9" s="345"/>
      <c r="O9" s="348"/>
      <c r="Q9" s="321"/>
      <c r="R9" s="325"/>
      <c r="S9" s="326"/>
      <c r="T9" s="330"/>
      <c r="U9" s="339"/>
      <c r="V9" s="339"/>
      <c r="W9" s="339"/>
      <c r="X9" s="345"/>
      <c r="Y9" s="398"/>
      <c r="Z9" s="398"/>
      <c r="AA9" s="398"/>
      <c r="AB9" s="399"/>
      <c r="AC9" s="348"/>
      <c r="AD9" s="105"/>
      <c r="AE9" s="330"/>
      <c r="AF9" s="116"/>
      <c r="AG9" s="116"/>
      <c r="AH9" s="345"/>
      <c r="AI9" s="348"/>
    </row>
    <row r="10" spans="1:35" ht="15.75" thickBot="1">
      <c r="A10" s="322"/>
      <c r="B10" s="327"/>
      <c r="C10" s="328"/>
      <c r="D10" s="331"/>
      <c r="E10" s="76"/>
      <c r="F10" s="340"/>
      <c r="G10" s="340"/>
      <c r="H10" s="340"/>
      <c r="I10" s="346"/>
      <c r="J10" s="400"/>
      <c r="K10" s="401"/>
      <c r="L10" s="349"/>
      <c r="M10" s="331"/>
      <c r="N10" s="346"/>
      <c r="O10" s="349"/>
      <c r="Q10" s="322"/>
      <c r="R10" s="327"/>
      <c r="S10" s="328"/>
      <c r="T10" s="331"/>
      <c r="U10" s="340"/>
      <c r="V10" s="340"/>
      <c r="W10" s="340"/>
      <c r="X10" s="346"/>
      <c r="Y10" s="400"/>
      <c r="Z10" s="400"/>
      <c r="AA10" s="400"/>
      <c r="AB10" s="401"/>
      <c r="AC10" s="349"/>
      <c r="AD10" s="106"/>
      <c r="AE10" s="331"/>
      <c r="AF10" s="117"/>
      <c r="AG10" s="117"/>
      <c r="AH10" s="346"/>
      <c r="AI10" s="349"/>
    </row>
    <row r="11" spans="1:35" ht="35.25" customHeight="1" thickBot="1">
      <c r="A11" s="273" t="s">
        <v>25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5"/>
      <c r="N11" s="61" t="s">
        <v>17</v>
      </c>
      <c r="O11" s="92">
        <f>O3+O8</f>
        <v>328.80879999999996</v>
      </c>
      <c r="Q11" s="383" t="s">
        <v>26</v>
      </c>
      <c r="R11" s="384"/>
      <c r="S11" s="384"/>
      <c r="T11" s="384"/>
      <c r="U11" s="384"/>
      <c r="V11" s="384"/>
      <c r="W11" s="384"/>
      <c r="X11" s="384"/>
      <c r="Y11" s="384"/>
      <c r="Z11" s="384"/>
      <c r="AA11" s="384"/>
      <c r="AB11" s="384"/>
      <c r="AC11" s="384"/>
      <c r="AD11" s="384"/>
      <c r="AE11" s="385"/>
      <c r="AF11" s="140"/>
      <c r="AG11" s="140"/>
      <c r="AH11" s="60" t="s">
        <v>17</v>
      </c>
      <c r="AI11" s="67">
        <f>AI3+AI8</f>
        <v>317.28879999999998</v>
      </c>
    </row>
    <row r="12" spans="1:35" ht="15.75" thickBot="1">
      <c r="A12" s="432" t="s">
        <v>27</v>
      </c>
      <c r="B12" s="433"/>
      <c r="C12" s="434"/>
      <c r="D12" s="38" t="s">
        <v>2</v>
      </c>
      <c r="E12" s="77"/>
      <c r="F12" s="39" t="s">
        <v>3</v>
      </c>
      <c r="G12" s="40" t="s">
        <v>12</v>
      </c>
      <c r="H12" s="40" t="s">
        <v>13</v>
      </c>
      <c r="I12" s="40" t="s">
        <v>6</v>
      </c>
      <c r="J12" s="435" t="s">
        <v>7</v>
      </c>
      <c r="K12" s="436"/>
      <c r="L12" s="437"/>
      <c r="M12" s="128" t="s">
        <v>8</v>
      </c>
      <c r="N12" s="38" t="s">
        <v>9</v>
      </c>
      <c r="O12" s="38" t="s">
        <v>10</v>
      </c>
      <c r="Q12" s="376" t="s">
        <v>28</v>
      </c>
      <c r="R12" s="377"/>
      <c r="S12" s="378"/>
      <c r="T12" s="35" t="s">
        <v>2</v>
      </c>
      <c r="U12" s="36" t="s">
        <v>3</v>
      </c>
      <c r="V12" s="37" t="s">
        <v>12</v>
      </c>
      <c r="W12" s="37" t="s">
        <v>13</v>
      </c>
      <c r="X12" s="37" t="s">
        <v>6</v>
      </c>
      <c r="Y12" s="379" t="s">
        <v>7</v>
      </c>
      <c r="Z12" s="380"/>
      <c r="AA12" s="381"/>
      <c r="AB12" s="381"/>
      <c r="AC12" s="382"/>
      <c r="AD12" s="143"/>
      <c r="AE12" s="142" t="s">
        <v>8</v>
      </c>
      <c r="AF12" s="143"/>
      <c r="AG12" s="143"/>
      <c r="AH12" s="35" t="s">
        <v>9</v>
      </c>
      <c r="AI12" s="35" t="s">
        <v>10</v>
      </c>
    </row>
    <row r="13" spans="1:35" ht="15.75" thickBot="1">
      <c r="A13" s="359" t="s">
        <v>14</v>
      </c>
      <c r="B13" s="353" t="s">
        <v>15</v>
      </c>
      <c r="C13" s="354"/>
      <c r="D13" s="164">
        <f>1</f>
        <v>1</v>
      </c>
      <c r="E13" s="164"/>
      <c r="F13" s="120">
        <f>30</f>
        <v>30</v>
      </c>
      <c r="G13" s="120">
        <f>0.4</f>
        <v>0.4</v>
      </c>
      <c r="H13" s="120">
        <f>0.4</f>
        <v>0.4</v>
      </c>
      <c r="I13" s="120">
        <v>4</v>
      </c>
      <c r="J13" s="386">
        <v>2.4</v>
      </c>
      <c r="K13" s="387"/>
      <c r="L13" s="1" t="s">
        <v>16</v>
      </c>
      <c r="M13" s="155">
        <f>PRODUCT(D13:K13)</f>
        <v>46.080000000000005</v>
      </c>
      <c r="N13" s="163" t="s">
        <v>17</v>
      </c>
      <c r="O13" s="317">
        <f>M13+M14+M15+M17</f>
        <v>286.30079999999998</v>
      </c>
      <c r="Q13" s="359" t="s">
        <v>14</v>
      </c>
      <c r="R13" s="353" t="s">
        <v>15</v>
      </c>
      <c r="S13" s="354"/>
      <c r="T13" s="164">
        <f>1</f>
        <v>1</v>
      </c>
      <c r="U13" s="120">
        <f>30</f>
        <v>30</v>
      </c>
      <c r="V13" s="120">
        <f>0.4</f>
        <v>0.4</v>
      </c>
      <c r="W13" s="120">
        <f>0.4</f>
        <v>0.4</v>
      </c>
      <c r="X13" s="120">
        <v>4</v>
      </c>
      <c r="Y13" s="387">
        <v>2.4</v>
      </c>
      <c r="Z13" s="472"/>
      <c r="AA13" s="472"/>
      <c r="AB13" s="473"/>
      <c r="AC13" s="1" t="s">
        <v>16</v>
      </c>
      <c r="AD13" s="103"/>
      <c r="AE13" s="155">
        <f>PRODUCT(T13:Z13)</f>
        <v>46.080000000000005</v>
      </c>
      <c r="AF13" s="87"/>
      <c r="AG13" s="87"/>
      <c r="AH13" s="163" t="s">
        <v>17</v>
      </c>
      <c r="AI13" s="317">
        <f>AE13+AE14+AE15+AE17</f>
        <v>286.30079999999998</v>
      </c>
    </row>
    <row r="14" spans="1:35" ht="15.75" thickBot="1">
      <c r="A14" s="360"/>
      <c r="B14" s="353" t="s">
        <v>29</v>
      </c>
      <c r="C14" s="354"/>
      <c r="D14" s="155">
        <v>1</v>
      </c>
      <c r="E14" s="155"/>
      <c r="F14" s="120">
        <v>24</v>
      </c>
      <c r="G14" s="120">
        <v>5.6</v>
      </c>
      <c r="H14" s="120">
        <v>0.3</v>
      </c>
      <c r="I14" s="120">
        <v>0.6</v>
      </c>
      <c r="J14" s="386">
        <f>2.4</f>
        <v>2.4</v>
      </c>
      <c r="K14" s="386"/>
      <c r="L14" s="1" t="s">
        <v>16</v>
      </c>
      <c r="M14" s="169">
        <f>PRODUCT(D14:K14)</f>
        <v>58.060799999999986</v>
      </c>
      <c r="N14" s="154" t="s">
        <v>17</v>
      </c>
      <c r="O14" s="318"/>
      <c r="Q14" s="360"/>
      <c r="R14" s="353" t="s">
        <v>29</v>
      </c>
      <c r="S14" s="354"/>
      <c r="T14" s="155">
        <v>1</v>
      </c>
      <c r="U14" s="120">
        <v>24</v>
      </c>
      <c r="V14" s="120">
        <v>5.6</v>
      </c>
      <c r="W14" s="120">
        <v>0.3</v>
      </c>
      <c r="X14" s="120">
        <v>0.6</v>
      </c>
      <c r="Y14" s="387">
        <f>2.4</f>
        <v>2.4</v>
      </c>
      <c r="Z14" s="472"/>
      <c r="AA14" s="472"/>
      <c r="AB14" s="473"/>
      <c r="AC14" s="1" t="s">
        <v>16</v>
      </c>
      <c r="AD14" s="1"/>
      <c r="AE14" s="169">
        <f>PRODUCT(T14:Z14)</f>
        <v>58.060799999999986</v>
      </c>
      <c r="AF14" s="165"/>
      <c r="AG14" s="165"/>
      <c r="AH14" s="154" t="s">
        <v>17</v>
      </c>
      <c r="AI14" s="318"/>
    </row>
    <row r="15" spans="1:35" ht="15.75" thickBot="1">
      <c r="A15" s="360"/>
      <c r="B15" s="353" t="s">
        <v>30</v>
      </c>
      <c r="C15" s="354"/>
      <c r="D15" s="162">
        <v>1</v>
      </c>
      <c r="E15" s="162"/>
      <c r="F15" s="14">
        <v>25</v>
      </c>
      <c r="G15" s="14">
        <v>4.5999999999999996</v>
      </c>
      <c r="H15" s="14">
        <v>0.25</v>
      </c>
      <c r="I15" s="14">
        <v>0.4</v>
      </c>
      <c r="J15" s="394">
        <f>2.4</f>
        <v>2.4</v>
      </c>
      <c r="K15" s="395"/>
      <c r="L15" s="22" t="s">
        <v>16</v>
      </c>
      <c r="M15" s="14">
        <f>PRODUCT(D15:K15)</f>
        <v>27.599999999999998</v>
      </c>
      <c r="N15" s="161" t="s">
        <v>17</v>
      </c>
      <c r="O15" s="318"/>
      <c r="Q15" s="360"/>
      <c r="R15" s="353" t="s">
        <v>30</v>
      </c>
      <c r="S15" s="354"/>
      <c r="T15" s="162">
        <v>1</v>
      </c>
      <c r="U15" s="14">
        <v>25</v>
      </c>
      <c r="V15" s="14">
        <v>4.5999999999999996</v>
      </c>
      <c r="W15" s="14">
        <v>0.25</v>
      </c>
      <c r="X15" s="14">
        <v>0.4</v>
      </c>
      <c r="Y15" s="474">
        <f>2.4</f>
        <v>2.4</v>
      </c>
      <c r="Z15" s="475"/>
      <c r="AA15" s="475"/>
      <c r="AB15" s="476"/>
      <c r="AC15" s="22" t="s">
        <v>16</v>
      </c>
      <c r="AD15" s="22"/>
      <c r="AE15" s="14">
        <f>PRODUCT(T15:Z15)</f>
        <v>27.599999999999998</v>
      </c>
      <c r="AF15" s="161"/>
      <c r="AG15" s="161"/>
      <c r="AH15" s="161" t="s">
        <v>17</v>
      </c>
      <c r="AI15" s="318"/>
    </row>
    <row r="16" spans="1:35" ht="15.75" thickBot="1">
      <c r="A16" s="360"/>
      <c r="B16" s="353" t="s">
        <v>20</v>
      </c>
      <c r="C16" s="354"/>
      <c r="D16" s="329">
        <f>1</f>
        <v>1</v>
      </c>
      <c r="E16" s="74"/>
      <c r="F16" s="180">
        <v>20</v>
      </c>
      <c r="G16" s="180">
        <v>5.6</v>
      </c>
      <c r="H16" s="310">
        <v>4.5999999999999996</v>
      </c>
      <c r="I16" s="432" t="s">
        <v>21</v>
      </c>
      <c r="J16" s="433"/>
      <c r="K16" s="433"/>
      <c r="L16" s="434"/>
      <c r="M16" s="127" t="s">
        <v>8</v>
      </c>
      <c r="N16" s="38" t="s">
        <v>9</v>
      </c>
      <c r="O16" s="318"/>
      <c r="Q16" s="360"/>
      <c r="R16" s="353" t="s">
        <v>20</v>
      </c>
      <c r="S16" s="354"/>
      <c r="T16" s="329">
        <f>1</f>
        <v>1</v>
      </c>
      <c r="U16" s="180">
        <v>20</v>
      </c>
      <c r="V16" s="180">
        <v>5.6</v>
      </c>
      <c r="W16" s="310">
        <v>4.5999999999999996</v>
      </c>
      <c r="X16" s="376" t="s">
        <v>21</v>
      </c>
      <c r="Y16" s="377"/>
      <c r="Z16" s="377"/>
      <c r="AA16" s="377"/>
      <c r="AB16" s="377"/>
      <c r="AC16" s="378"/>
      <c r="AD16" s="141"/>
      <c r="AE16" s="141" t="s">
        <v>8</v>
      </c>
      <c r="AF16" s="141"/>
      <c r="AG16" s="141"/>
      <c r="AH16" s="35" t="s">
        <v>9</v>
      </c>
      <c r="AI16" s="318"/>
    </row>
    <row r="17" spans="1:45" ht="15.75" thickBot="1">
      <c r="A17" s="370"/>
      <c r="B17" s="21" t="s">
        <v>22</v>
      </c>
      <c r="C17" s="18">
        <f>0.2</f>
        <v>0.2</v>
      </c>
      <c r="D17" s="364"/>
      <c r="E17" s="131"/>
      <c r="F17" s="309"/>
      <c r="G17" s="309"/>
      <c r="H17" s="309"/>
      <c r="I17" s="314">
        <f>0.3</f>
        <v>0.3</v>
      </c>
      <c r="J17" s="315"/>
      <c r="K17" s="316"/>
      <c r="L17" s="23" t="s">
        <v>23</v>
      </c>
      <c r="M17" s="13">
        <f>PRODUCT(D16:H17,I17)</f>
        <v>154.55999999999997</v>
      </c>
      <c r="N17" s="163" t="s">
        <v>17</v>
      </c>
      <c r="O17" s="319"/>
      <c r="Q17" s="370"/>
      <c r="R17" s="21" t="s">
        <v>22</v>
      </c>
      <c r="S17" s="18">
        <f>0.2</f>
        <v>0.2</v>
      </c>
      <c r="T17" s="364"/>
      <c r="U17" s="309"/>
      <c r="V17" s="309"/>
      <c r="W17" s="309"/>
      <c r="X17" s="314">
        <f>0.3</f>
        <v>0.3</v>
      </c>
      <c r="Y17" s="315"/>
      <c r="Z17" s="315"/>
      <c r="AA17" s="315"/>
      <c r="AB17" s="316"/>
      <c r="AC17" s="23" t="s">
        <v>23</v>
      </c>
      <c r="AD17" s="23"/>
      <c r="AE17" s="13">
        <f>PRODUCT(T16:W17,X17)</f>
        <v>154.55999999999997</v>
      </c>
      <c r="AF17" s="163"/>
      <c r="AG17" s="163"/>
      <c r="AH17" s="163" t="s">
        <v>17</v>
      </c>
      <c r="AI17" s="319"/>
    </row>
    <row r="18" spans="1:45">
      <c r="A18" s="320" t="s">
        <v>24</v>
      </c>
      <c r="B18" s="323" t="s">
        <v>20</v>
      </c>
      <c r="C18" s="324"/>
      <c r="D18" s="329">
        <v>1</v>
      </c>
      <c r="E18" s="74"/>
      <c r="F18" s="180">
        <v>1</v>
      </c>
      <c r="G18" s="180">
        <f>25.4</f>
        <v>25.4</v>
      </c>
      <c r="H18" s="180">
        <f>24.4</f>
        <v>24.4</v>
      </c>
      <c r="I18" s="310">
        <f>0.2</f>
        <v>0.2</v>
      </c>
      <c r="J18" s="396"/>
      <c r="K18" s="397"/>
      <c r="L18" s="347" t="s">
        <v>23</v>
      </c>
      <c r="M18" s="329">
        <f>PRODUCT(D18:K20)*0.25</f>
        <v>30.987999999999996</v>
      </c>
      <c r="N18" s="310" t="s">
        <v>17</v>
      </c>
      <c r="O18" s="347">
        <f>M18</f>
        <v>30.987999999999996</v>
      </c>
      <c r="Q18" s="320" t="s">
        <v>24</v>
      </c>
      <c r="R18" s="323" t="s">
        <v>20</v>
      </c>
      <c r="S18" s="324"/>
      <c r="T18" s="329">
        <v>1</v>
      </c>
      <c r="U18" s="180">
        <v>1</v>
      </c>
      <c r="V18" s="180">
        <f>25.4</f>
        <v>25.4</v>
      </c>
      <c r="W18" s="180">
        <f>24.4</f>
        <v>24.4</v>
      </c>
      <c r="X18" s="310">
        <f>0.2</f>
        <v>0.2</v>
      </c>
      <c r="Y18" s="396"/>
      <c r="Z18" s="396"/>
      <c r="AA18" s="396"/>
      <c r="AB18" s="397"/>
      <c r="AC18" s="347" t="s">
        <v>23</v>
      </c>
      <c r="AD18" s="105"/>
      <c r="AE18" s="329">
        <f>PRODUCT(T18:Z20)*0.25</f>
        <v>30.987999999999996</v>
      </c>
      <c r="AF18" s="115"/>
      <c r="AG18" s="115"/>
      <c r="AH18" s="310" t="s">
        <v>17</v>
      </c>
      <c r="AI18" s="347">
        <f>AE18</f>
        <v>30.987999999999996</v>
      </c>
    </row>
    <row r="19" spans="1:45">
      <c r="A19" s="321"/>
      <c r="B19" s="325"/>
      <c r="C19" s="326"/>
      <c r="D19" s="330"/>
      <c r="E19" s="75"/>
      <c r="F19" s="339"/>
      <c r="G19" s="339"/>
      <c r="H19" s="339"/>
      <c r="I19" s="345"/>
      <c r="J19" s="398"/>
      <c r="K19" s="399"/>
      <c r="L19" s="348"/>
      <c r="M19" s="330"/>
      <c r="N19" s="345"/>
      <c r="O19" s="348"/>
      <c r="Q19" s="321"/>
      <c r="R19" s="325"/>
      <c r="S19" s="326"/>
      <c r="T19" s="330"/>
      <c r="U19" s="339"/>
      <c r="V19" s="339"/>
      <c r="W19" s="339"/>
      <c r="X19" s="345"/>
      <c r="Y19" s="398"/>
      <c r="Z19" s="398"/>
      <c r="AA19" s="398"/>
      <c r="AB19" s="399"/>
      <c r="AC19" s="348"/>
      <c r="AD19" s="105"/>
      <c r="AE19" s="330"/>
      <c r="AF19" s="116"/>
      <c r="AG19" s="116"/>
      <c r="AH19" s="345"/>
      <c r="AI19" s="348"/>
    </row>
    <row r="20" spans="1:45" ht="15.75" thickBot="1">
      <c r="A20" s="322"/>
      <c r="B20" s="327"/>
      <c r="C20" s="328"/>
      <c r="D20" s="331"/>
      <c r="E20" s="76"/>
      <c r="F20" s="340"/>
      <c r="G20" s="340"/>
      <c r="H20" s="340"/>
      <c r="I20" s="346"/>
      <c r="J20" s="400"/>
      <c r="K20" s="401"/>
      <c r="L20" s="349"/>
      <c r="M20" s="331"/>
      <c r="N20" s="346"/>
      <c r="O20" s="349"/>
      <c r="Q20" s="322"/>
      <c r="R20" s="327"/>
      <c r="S20" s="328"/>
      <c r="T20" s="331"/>
      <c r="U20" s="340"/>
      <c r="V20" s="340"/>
      <c r="W20" s="340"/>
      <c r="X20" s="346"/>
      <c r="Y20" s="400"/>
      <c r="Z20" s="400"/>
      <c r="AA20" s="400"/>
      <c r="AB20" s="401"/>
      <c r="AC20" s="349"/>
      <c r="AD20" s="106"/>
      <c r="AE20" s="331"/>
      <c r="AF20" s="117"/>
      <c r="AG20" s="117"/>
      <c r="AH20" s="346"/>
      <c r="AI20" s="349"/>
    </row>
    <row r="21" spans="1:45" ht="35.25" customHeight="1" thickBot="1">
      <c r="A21" s="408" t="s">
        <v>31</v>
      </c>
      <c r="B21" s="409"/>
      <c r="C21" s="409"/>
      <c r="D21" s="409"/>
      <c r="E21" s="409"/>
      <c r="F21" s="409"/>
      <c r="G21" s="409"/>
      <c r="H21" s="409"/>
      <c r="I21" s="409"/>
      <c r="J21" s="409"/>
      <c r="K21" s="409"/>
      <c r="L21" s="409"/>
      <c r="M21" s="410"/>
      <c r="N21" s="62" t="s">
        <v>17</v>
      </c>
      <c r="O21" s="67">
        <f>O13+O18</f>
        <v>317.28879999999998</v>
      </c>
      <c r="Q21" s="367" t="s">
        <v>32</v>
      </c>
      <c r="R21" s="368"/>
      <c r="S21" s="368"/>
      <c r="T21" s="368"/>
      <c r="U21" s="368"/>
      <c r="V21" s="368"/>
      <c r="W21" s="368"/>
      <c r="X21" s="368"/>
      <c r="Y21" s="368"/>
      <c r="Z21" s="368"/>
      <c r="AA21" s="368"/>
      <c r="AB21" s="368"/>
      <c r="AC21" s="368"/>
      <c r="AD21" s="368"/>
      <c r="AE21" s="369"/>
      <c r="AF21" s="144"/>
      <c r="AG21" s="144"/>
      <c r="AH21" s="59" t="s">
        <v>17</v>
      </c>
      <c r="AI21" s="67">
        <f>AI13+AI18</f>
        <v>317.28879999999998</v>
      </c>
    </row>
    <row r="22" spans="1:45" ht="15.75" thickBot="1">
      <c r="A22" s="388" t="s">
        <v>33</v>
      </c>
      <c r="B22" s="389"/>
      <c r="C22" s="390"/>
      <c r="D22" s="32" t="s">
        <v>2</v>
      </c>
      <c r="E22" s="78"/>
      <c r="F22" s="33" t="s">
        <v>3</v>
      </c>
      <c r="G22" s="34" t="s">
        <v>12</v>
      </c>
      <c r="H22" s="34" t="s">
        <v>13</v>
      </c>
      <c r="I22" s="34" t="s">
        <v>6</v>
      </c>
      <c r="J22" s="391" t="s">
        <v>7</v>
      </c>
      <c r="K22" s="392"/>
      <c r="L22" s="393"/>
      <c r="M22" s="135" t="s">
        <v>8</v>
      </c>
      <c r="N22" s="32" t="s">
        <v>9</v>
      </c>
      <c r="O22" s="32" t="s">
        <v>10</v>
      </c>
      <c r="Q22" s="350" t="s">
        <v>34</v>
      </c>
      <c r="R22" s="351"/>
      <c r="S22" s="352"/>
      <c r="T22" s="147" t="s">
        <v>2</v>
      </c>
      <c r="U22" s="147" t="s">
        <v>3</v>
      </c>
      <c r="V22" s="147" t="s">
        <v>12</v>
      </c>
      <c r="W22" s="147" t="s">
        <v>13</v>
      </c>
      <c r="X22" s="147" t="s">
        <v>6</v>
      </c>
      <c r="Y22" s="350" t="s">
        <v>7</v>
      </c>
      <c r="Z22" s="351"/>
      <c r="AA22" s="351"/>
      <c r="AB22" s="352"/>
      <c r="AC22" s="147"/>
      <c r="AD22" s="147"/>
      <c r="AE22" s="147" t="s">
        <v>8</v>
      </c>
      <c r="AF22" s="147"/>
      <c r="AG22" s="147"/>
      <c r="AH22" s="147" t="s">
        <v>9</v>
      </c>
      <c r="AI22" s="31" t="s">
        <v>10</v>
      </c>
    </row>
    <row r="23" spans="1:45" ht="15.75" thickBot="1">
      <c r="A23" s="359" t="s">
        <v>14</v>
      </c>
      <c r="B23" s="353" t="s">
        <v>15</v>
      </c>
      <c r="C23" s="354"/>
      <c r="D23" s="164">
        <f>1</f>
        <v>1</v>
      </c>
      <c r="E23" s="164"/>
      <c r="F23" s="120">
        <f>30</f>
        <v>30</v>
      </c>
      <c r="G23" s="120">
        <f>0.4</f>
        <v>0.4</v>
      </c>
      <c r="H23" s="120">
        <f>0.4</f>
        <v>0.4</v>
      </c>
      <c r="I23" s="120">
        <v>4</v>
      </c>
      <c r="J23" s="386">
        <v>2.4</v>
      </c>
      <c r="K23" s="387"/>
      <c r="L23" s="1" t="s">
        <v>16</v>
      </c>
      <c r="M23" s="155">
        <f>PRODUCT(D23:K23)</f>
        <v>46.080000000000005</v>
      </c>
      <c r="N23" s="163" t="s">
        <v>17</v>
      </c>
      <c r="O23" s="460">
        <f>M23+M24+M25+M27</f>
        <v>286.30079999999998</v>
      </c>
      <c r="Q23" s="359" t="s">
        <v>14</v>
      </c>
      <c r="R23" s="353" t="s">
        <v>15</v>
      </c>
      <c r="S23" s="354"/>
      <c r="T23" s="164">
        <f>1</f>
        <v>1</v>
      </c>
      <c r="U23" s="120">
        <f>30</f>
        <v>30</v>
      </c>
      <c r="V23" s="120">
        <f>0.4</f>
        <v>0.4</v>
      </c>
      <c r="W23" s="120">
        <f>0.4</f>
        <v>0.4</v>
      </c>
      <c r="X23" s="120">
        <v>4</v>
      </c>
      <c r="Y23" s="477">
        <v>2.4</v>
      </c>
      <c r="Z23" s="478"/>
      <c r="AA23" s="478"/>
      <c r="AB23" s="479"/>
      <c r="AC23" s="1" t="s">
        <v>16</v>
      </c>
      <c r="AD23" s="103"/>
      <c r="AE23" s="155">
        <f>PRODUCT(T23:Z23)</f>
        <v>46.080000000000005</v>
      </c>
      <c r="AF23" s="87"/>
      <c r="AG23" s="87"/>
      <c r="AH23" s="163" t="s">
        <v>17</v>
      </c>
      <c r="AI23" s="317">
        <f>AE23+AE24+AE25+AE27</f>
        <v>286.30079999999998</v>
      </c>
    </row>
    <row r="24" spans="1:45" ht="15.75" thickBot="1">
      <c r="A24" s="360"/>
      <c r="B24" s="353" t="s">
        <v>18</v>
      </c>
      <c r="C24" s="354"/>
      <c r="D24" s="155">
        <v>1</v>
      </c>
      <c r="E24" s="155"/>
      <c r="F24" s="120">
        <v>24</v>
      </c>
      <c r="G24" s="120">
        <v>5.6</v>
      </c>
      <c r="H24" s="120">
        <v>0.3</v>
      </c>
      <c r="I24" s="120">
        <v>0.6</v>
      </c>
      <c r="J24" s="386">
        <f>2.4</f>
        <v>2.4</v>
      </c>
      <c r="K24" s="386"/>
      <c r="L24" s="1" t="s">
        <v>16</v>
      </c>
      <c r="M24" s="169">
        <f>PRODUCT(D24:K24)</f>
        <v>58.060799999999986</v>
      </c>
      <c r="N24" s="154" t="s">
        <v>17</v>
      </c>
      <c r="O24" s="461"/>
      <c r="Q24" s="360"/>
      <c r="R24" s="353" t="s">
        <v>18</v>
      </c>
      <c r="S24" s="354"/>
      <c r="T24" s="155">
        <v>1</v>
      </c>
      <c r="U24" s="120">
        <v>24</v>
      </c>
      <c r="V24" s="120">
        <v>5.6</v>
      </c>
      <c r="W24" s="120">
        <v>0.3</v>
      </c>
      <c r="X24" s="120">
        <v>0.6</v>
      </c>
      <c r="Y24" s="387">
        <f>2.4</f>
        <v>2.4</v>
      </c>
      <c r="Z24" s="472"/>
      <c r="AA24" s="472"/>
      <c r="AB24" s="473"/>
      <c r="AC24" s="1" t="s">
        <v>16</v>
      </c>
      <c r="AD24" s="1"/>
      <c r="AE24" s="169">
        <f>PRODUCT(T24:Z24)</f>
        <v>58.060799999999986</v>
      </c>
      <c r="AF24" s="165"/>
      <c r="AG24" s="165"/>
      <c r="AH24" s="154" t="s">
        <v>17</v>
      </c>
      <c r="AI24" s="371"/>
    </row>
    <row r="25" spans="1:45" ht="15.75" thickBot="1">
      <c r="A25" s="360"/>
      <c r="B25" s="353" t="s">
        <v>19</v>
      </c>
      <c r="C25" s="354"/>
      <c r="D25" s="162">
        <v>1</v>
      </c>
      <c r="E25" s="162"/>
      <c r="F25" s="14">
        <v>25</v>
      </c>
      <c r="G25" s="14">
        <v>4.5999999999999996</v>
      </c>
      <c r="H25" s="14">
        <v>0.25</v>
      </c>
      <c r="I25" s="14">
        <v>0.4</v>
      </c>
      <c r="J25" s="394">
        <f>2.4</f>
        <v>2.4</v>
      </c>
      <c r="K25" s="395"/>
      <c r="L25" s="22" t="s">
        <v>16</v>
      </c>
      <c r="M25" s="120">
        <f>PRODUCT(D25:K25)</f>
        <v>27.599999999999998</v>
      </c>
      <c r="N25" s="154" t="s">
        <v>17</v>
      </c>
      <c r="O25" s="461"/>
      <c r="Q25" s="360"/>
      <c r="R25" s="353" t="s">
        <v>19</v>
      </c>
      <c r="S25" s="354"/>
      <c r="T25" s="162">
        <v>1</v>
      </c>
      <c r="U25" s="14">
        <v>25</v>
      </c>
      <c r="V25" s="14">
        <v>4.5999999999999996</v>
      </c>
      <c r="W25" s="14">
        <v>0.25</v>
      </c>
      <c r="X25" s="14">
        <v>0.4</v>
      </c>
      <c r="Y25" s="474">
        <f>2.4</f>
        <v>2.4</v>
      </c>
      <c r="Z25" s="475"/>
      <c r="AA25" s="475"/>
      <c r="AB25" s="476"/>
      <c r="AC25" s="22" t="s">
        <v>16</v>
      </c>
      <c r="AD25" s="22"/>
      <c r="AE25" s="120">
        <f>PRODUCT(T25:Z25)</f>
        <v>27.599999999999998</v>
      </c>
      <c r="AF25" s="154"/>
      <c r="AG25" s="154"/>
      <c r="AH25" s="154" t="s">
        <v>17</v>
      </c>
      <c r="AI25" s="371"/>
    </row>
    <row r="26" spans="1:45" ht="15.75" thickBot="1">
      <c r="A26" s="360"/>
      <c r="B26" s="353" t="s">
        <v>20</v>
      </c>
      <c r="C26" s="354"/>
      <c r="D26" s="329">
        <f>1</f>
        <v>1</v>
      </c>
      <c r="E26" s="74"/>
      <c r="F26" s="180">
        <v>20</v>
      </c>
      <c r="G26" s="180">
        <v>5.6</v>
      </c>
      <c r="H26" s="310">
        <v>4.5999999999999996</v>
      </c>
      <c r="I26" s="388" t="s">
        <v>21</v>
      </c>
      <c r="J26" s="389"/>
      <c r="K26" s="389"/>
      <c r="L26" s="390"/>
      <c r="M26" s="136" t="s">
        <v>8</v>
      </c>
      <c r="N26" s="122" t="s">
        <v>9</v>
      </c>
      <c r="O26" s="461"/>
      <c r="Q26" s="360"/>
      <c r="R26" s="353" t="s">
        <v>20</v>
      </c>
      <c r="S26" s="354"/>
      <c r="T26" s="329">
        <f>1</f>
        <v>1</v>
      </c>
      <c r="U26" s="180">
        <v>20</v>
      </c>
      <c r="V26" s="180">
        <v>5.6</v>
      </c>
      <c r="W26" s="310">
        <v>4.5999999999999996</v>
      </c>
      <c r="X26" s="373" t="s">
        <v>21</v>
      </c>
      <c r="Y26" s="374"/>
      <c r="Z26" s="374"/>
      <c r="AA26" s="374"/>
      <c r="AB26" s="374"/>
      <c r="AC26" s="375"/>
      <c r="AD26" s="148"/>
      <c r="AE26" s="147" t="s">
        <v>8</v>
      </c>
      <c r="AF26" s="147"/>
      <c r="AG26" s="147"/>
      <c r="AH26" s="147" t="s">
        <v>9</v>
      </c>
      <c r="AI26" s="371"/>
    </row>
    <row r="27" spans="1:45" ht="15.75" thickBot="1">
      <c r="A27" s="370"/>
      <c r="B27" s="21" t="s">
        <v>22</v>
      </c>
      <c r="C27" s="18">
        <f>0.2</f>
        <v>0.2</v>
      </c>
      <c r="D27" s="364"/>
      <c r="E27" s="131"/>
      <c r="F27" s="309"/>
      <c r="G27" s="309"/>
      <c r="H27" s="309"/>
      <c r="I27" s="314">
        <f>0.3</f>
        <v>0.3</v>
      </c>
      <c r="J27" s="315"/>
      <c r="K27" s="316"/>
      <c r="L27" s="23" t="s">
        <v>23</v>
      </c>
      <c r="M27" s="120">
        <f>PRODUCT(D26:H27,I27)</f>
        <v>154.55999999999997</v>
      </c>
      <c r="N27" s="154" t="s">
        <v>17</v>
      </c>
      <c r="O27" s="462"/>
      <c r="Q27" s="370"/>
      <c r="R27" s="21" t="s">
        <v>22</v>
      </c>
      <c r="S27" s="18">
        <f>0.2</f>
        <v>0.2</v>
      </c>
      <c r="T27" s="364"/>
      <c r="U27" s="309"/>
      <c r="V27" s="309"/>
      <c r="W27" s="309"/>
      <c r="X27" s="314">
        <f>0.3</f>
        <v>0.3</v>
      </c>
      <c r="Y27" s="315"/>
      <c r="Z27" s="315"/>
      <c r="AA27" s="315"/>
      <c r="AB27" s="316"/>
      <c r="AC27" s="23" t="s">
        <v>23</v>
      </c>
      <c r="AD27" s="23"/>
      <c r="AE27" s="120">
        <f>PRODUCT(T26:W27,X27)</f>
        <v>154.55999999999997</v>
      </c>
      <c r="AF27" s="154"/>
      <c r="AG27" s="154"/>
      <c r="AH27" s="154" t="s">
        <v>17</v>
      </c>
      <c r="AI27" s="372"/>
    </row>
    <row r="28" spans="1:45">
      <c r="A28" s="320" t="s">
        <v>24</v>
      </c>
      <c r="B28" s="323" t="s">
        <v>20</v>
      </c>
      <c r="C28" s="324"/>
      <c r="D28" s="329">
        <v>1</v>
      </c>
      <c r="E28" s="74"/>
      <c r="F28" s="180">
        <v>1</v>
      </c>
      <c r="G28" s="180">
        <f>25.4</f>
        <v>25.4</v>
      </c>
      <c r="H28" s="180">
        <f>24.4</f>
        <v>24.4</v>
      </c>
      <c r="I28" s="310">
        <f>0.2</f>
        <v>0.2</v>
      </c>
      <c r="J28" s="396"/>
      <c r="K28" s="397"/>
      <c r="L28" s="347" t="s">
        <v>23</v>
      </c>
      <c r="M28" s="329">
        <f>PRODUCT(D28:K30)*0.25</f>
        <v>30.987999999999996</v>
      </c>
      <c r="N28" s="310" t="s">
        <v>17</v>
      </c>
      <c r="O28" s="347">
        <f>M28</f>
        <v>30.987999999999996</v>
      </c>
      <c r="Q28" s="320" t="s">
        <v>24</v>
      </c>
      <c r="R28" s="323" t="s">
        <v>20</v>
      </c>
      <c r="S28" s="324"/>
      <c r="T28" s="329">
        <v>1</v>
      </c>
      <c r="U28" s="180">
        <v>1</v>
      </c>
      <c r="V28" s="180">
        <f>25.4</f>
        <v>25.4</v>
      </c>
      <c r="W28" s="180">
        <f>24.4</f>
        <v>24.4</v>
      </c>
      <c r="X28" s="310">
        <f>0.2</f>
        <v>0.2</v>
      </c>
      <c r="Y28" s="396"/>
      <c r="Z28" s="396"/>
      <c r="AA28" s="396"/>
      <c r="AB28" s="397"/>
      <c r="AC28" s="347" t="s">
        <v>23</v>
      </c>
      <c r="AD28" s="105"/>
      <c r="AE28" s="329">
        <f>PRODUCT(T28:Z30)*0.25</f>
        <v>30.987999999999996</v>
      </c>
      <c r="AF28" s="115"/>
      <c r="AG28" s="115"/>
      <c r="AH28" s="310" t="s">
        <v>17</v>
      </c>
      <c r="AI28" s="347">
        <f>AE28</f>
        <v>30.987999999999996</v>
      </c>
    </row>
    <row r="29" spans="1:45">
      <c r="A29" s="321"/>
      <c r="B29" s="325"/>
      <c r="C29" s="326"/>
      <c r="D29" s="330"/>
      <c r="E29" s="75"/>
      <c r="F29" s="339"/>
      <c r="G29" s="339"/>
      <c r="H29" s="339"/>
      <c r="I29" s="345"/>
      <c r="J29" s="398"/>
      <c r="K29" s="399"/>
      <c r="L29" s="348"/>
      <c r="M29" s="330"/>
      <c r="N29" s="345"/>
      <c r="O29" s="348"/>
      <c r="Q29" s="321"/>
      <c r="R29" s="325"/>
      <c r="S29" s="326"/>
      <c r="T29" s="330"/>
      <c r="U29" s="339"/>
      <c r="V29" s="339"/>
      <c r="W29" s="339"/>
      <c r="X29" s="345"/>
      <c r="Y29" s="398"/>
      <c r="Z29" s="398"/>
      <c r="AA29" s="398"/>
      <c r="AB29" s="399"/>
      <c r="AC29" s="348"/>
      <c r="AD29" s="105"/>
      <c r="AE29" s="330"/>
      <c r="AF29" s="116"/>
      <c r="AG29" s="116"/>
      <c r="AH29" s="345"/>
      <c r="AI29" s="348"/>
    </row>
    <row r="30" spans="1:45" ht="15.75" thickBot="1">
      <c r="A30" s="322"/>
      <c r="B30" s="327"/>
      <c r="C30" s="328"/>
      <c r="D30" s="331"/>
      <c r="E30" s="76"/>
      <c r="F30" s="340"/>
      <c r="G30" s="340"/>
      <c r="H30" s="340"/>
      <c r="I30" s="346"/>
      <c r="J30" s="400"/>
      <c r="K30" s="401"/>
      <c r="L30" s="349"/>
      <c r="M30" s="331"/>
      <c r="N30" s="346"/>
      <c r="O30" s="349"/>
      <c r="Q30" s="322"/>
      <c r="R30" s="327"/>
      <c r="S30" s="328"/>
      <c r="T30" s="331"/>
      <c r="U30" s="340"/>
      <c r="V30" s="340"/>
      <c r="W30" s="340"/>
      <c r="X30" s="346"/>
      <c r="Y30" s="400"/>
      <c r="Z30" s="400"/>
      <c r="AA30" s="400"/>
      <c r="AB30" s="401"/>
      <c r="AC30" s="349"/>
      <c r="AD30" s="106"/>
      <c r="AE30" s="331"/>
      <c r="AF30" s="117"/>
      <c r="AG30" s="117"/>
      <c r="AH30" s="346"/>
      <c r="AI30" s="349"/>
    </row>
    <row r="31" spans="1:45" ht="35.25" customHeight="1" thickBot="1">
      <c r="A31" s="402" t="s">
        <v>35</v>
      </c>
      <c r="B31" s="403"/>
      <c r="C31" s="403"/>
      <c r="D31" s="403"/>
      <c r="E31" s="403"/>
      <c r="F31" s="403"/>
      <c r="G31" s="403"/>
      <c r="H31" s="403"/>
      <c r="I31" s="403"/>
      <c r="J31" s="403"/>
      <c r="K31" s="403"/>
      <c r="L31" s="403"/>
      <c r="M31" s="404"/>
      <c r="N31" s="63" t="s">
        <v>17</v>
      </c>
      <c r="O31" s="67">
        <f>O23+O28</f>
        <v>317.28879999999998</v>
      </c>
      <c r="Q31" s="350" t="s">
        <v>36</v>
      </c>
      <c r="R31" s="351"/>
      <c r="S31" s="351"/>
      <c r="T31" s="351"/>
      <c r="U31" s="351"/>
      <c r="V31" s="351"/>
      <c r="W31" s="351"/>
      <c r="X31" s="351"/>
      <c r="Y31" s="351"/>
      <c r="Z31" s="351"/>
      <c r="AA31" s="351"/>
      <c r="AB31" s="351"/>
      <c r="AC31" s="351"/>
      <c r="AD31" s="351"/>
      <c r="AE31" s="352"/>
      <c r="AF31" s="146"/>
      <c r="AG31" s="146"/>
      <c r="AH31" s="145" t="s">
        <v>17</v>
      </c>
      <c r="AI31" s="67">
        <f>AI23+AI28</f>
        <v>317.28879999999998</v>
      </c>
      <c r="AJ31" s="30"/>
      <c r="AK31" s="30"/>
      <c r="AL31" s="30"/>
      <c r="AM31" s="30"/>
      <c r="AN31" s="30"/>
      <c r="AO31" s="30"/>
      <c r="AP31" s="30"/>
      <c r="AQ31" s="30"/>
      <c r="AR31" s="30"/>
      <c r="AS31" s="30"/>
    </row>
    <row r="32" spans="1:45" ht="15.75" thickBot="1">
      <c r="A32" s="311" t="s">
        <v>37</v>
      </c>
      <c r="B32" s="312"/>
      <c r="C32" s="313"/>
      <c r="D32" s="27" t="s">
        <v>2</v>
      </c>
      <c r="E32" s="79"/>
      <c r="F32" s="28" t="s">
        <v>3</v>
      </c>
      <c r="G32" s="29" t="s">
        <v>12</v>
      </c>
      <c r="H32" s="29" t="s">
        <v>13</v>
      </c>
      <c r="I32" s="29" t="s">
        <v>6</v>
      </c>
      <c r="J32" s="405" t="s">
        <v>7</v>
      </c>
      <c r="K32" s="406"/>
      <c r="L32" s="407"/>
      <c r="M32" s="138" t="s">
        <v>8</v>
      </c>
      <c r="N32" s="27" t="s">
        <v>9</v>
      </c>
      <c r="O32" s="27" t="s">
        <v>10</v>
      </c>
      <c r="Q32" s="362" t="s">
        <v>38</v>
      </c>
      <c r="R32" s="363"/>
      <c r="S32" s="363"/>
      <c r="T32" s="24" t="s">
        <v>2</v>
      </c>
      <c r="U32" s="25" t="s">
        <v>3</v>
      </c>
      <c r="V32" s="26" t="s">
        <v>12</v>
      </c>
      <c r="W32" s="26" t="s">
        <v>13</v>
      </c>
      <c r="X32" s="26" t="s">
        <v>6</v>
      </c>
      <c r="Y32" s="355" t="s">
        <v>7</v>
      </c>
      <c r="Z32" s="356"/>
      <c r="AA32" s="357"/>
      <c r="AB32" s="357"/>
      <c r="AC32" s="358"/>
      <c r="AD32" s="151"/>
      <c r="AE32" s="149" t="s">
        <v>8</v>
      </c>
      <c r="AF32" s="151"/>
      <c r="AG32" s="151"/>
      <c r="AH32" s="24" t="s">
        <v>9</v>
      </c>
      <c r="AI32" s="24" t="s">
        <v>10</v>
      </c>
    </row>
    <row r="33" spans="1:35" ht="15.75" thickBot="1">
      <c r="A33" s="359" t="s">
        <v>14</v>
      </c>
      <c r="B33" s="353" t="s">
        <v>15</v>
      </c>
      <c r="C33" s="354"/>
      <c r="D33" s="164">
        <f>1</f>
        <v>1</v>
      </c>
      <c r="E33" s="164"/>
      <c r="F33" s="120">
        <f>30</f>
        <v>30</v>
      </c>
      <c r="G33" s="120">
        <f>0.4</f>
        <v>0.4</v>
      </c>
      <c r="H33" s="120">
        <f>0.4</f>
        <v>0.4</v>
      </c>
      <c r="I33" s="120">
        <v>4</v>
      </c>
      <c r="J33" s="386">
        <v>2.4</v>
      </c>
      <c r="K33" s="387"/>
      <c r="L33" s="1" t="s">
        <v>16</v>
      </c>
      <c r="M33" s="155">
        <f>PRODUCT(D33:K33)</f>
        <v>46.080000000000005</v>
      </c>
      <c r="N33" s="163" t="s">
        <v>17</v>
      </c>
      <c r="O33" s="317">
        <f>M33+M34+M35+M37</f>
        <v>286.30079999999998</v>
      </c>
      <c r="Q33" s="359" t="s">
        <v>14</v>
      </c>
      <c r="R33" s="353" t="s">
        <v>15</v>
      </c>
      <c r="S33" s="354"/>
      <c r="T33" s="164">
        <f>1</f>
        <v>1</v>
      </c>
      <c r="U33" s="120">
        <f>30</f>
        <v>30</v>
      </c>
      <c r="V33" s="120">
        <f>0.4</f>
        <v>0.4</v>
      </c>
      <c r="W33" s="120">
        <f>0.4</f>
        <v>0.4</v>
      </c>
      <c r="X33" s="120">
        <v>4</v>
      </c>
      <c r="Y33" s="387">
        <v>2.4</v>
      </c>
      <c r="Z33" s="472"/>
      <c r="AA33" s="472"/>
      <c r="AB33" s="473"/>
      <c r="AC33" s="1" t="s">
        <v>16</v>
      </c>
      <c r="AD33" s="103"/>
      <c r="AE33" s="155">
        <f>PRODUCT(T33:Z33)</f>
        <v>46.080000000000005</v>
      </c>
      <c r="AF33" s="87"/>
      <c r="AG33" s="87"/>
      <c r="AH33" s="163" t="s">
        <v>17</v>
      </c>
      <c r="AI33" s="317">
        <f>AE33+AE34+AE35+AE37</f>
        <v>275.99680000000001</v>
      </c>
    </row>
    <row r="34" spans="1:35" ht="15.75" thickBot="1">
      <c r="A34" s="360"/>
      <c r="B34" s="353" t="s">
        <v>18</v>
      </c>
      <c r="C34" s="354"/>
      <c r="D34" s="155">
        <v>1</v>
      </c>
      <c r="E34" s="155"/>
      <c r="F34" s="120">
        <v>24</v>
      </c>
      <c r="G34" s="120">
        <v>5.6</v>
      </c>
      <c r="H34" s="120">
        <v>0.3</v>
      </c>
      <c r="I34" s="120">
        <v>0.6</v>
      </c>
      <c r="J34" s="386">
        <f>2.4</f>
        <v>2.4</v>
      </c>
      <c r="K34" s="386"/>
      <c r="L34" s="1" t="s">
        <v>16</v>
      </c>
      <c r="M34" s="169">
        <f>PRODUCT(D34:K34)</f>
        <v>58.060799999999986</v>
      </c>
      <c r="N34" s="154" t="s">
        <v>17</v>
      </c>
      <c r="O34" s="318"/>
      <c r="Q34" s="360"/>
      <c r="R34" s="353" t="s">
        <v>18</v>
      </c>
      <c r="S34" s="354"/>
      <c r="T34" s="155">
        <v>1</v>
      </c>
      <c r="U34" s="120">
        <v>24</v>
      </c>
      <c r="V34" s="120">
        <v>5.6</v>
      </c>
      <c r="W34" s="120">
        <v>0.3</v>
      </c>
      <c r="X34" s="120">
        <v>0.6</v>
      </c>
      <c r="Y34" s="387">
        <f>2.4</f>
        <v>2.4</v>
      </c>
      <c r="Z34" s="472"/>
      <c r="AA34" s="472"/>
      <c r="AB34" s="473"/>
      <c r="AC34" s="1" t="s">
        <v>16</v>
      </c>
      <c r="AD34" s="1"/>
      <c r="AE34" s="169">
        <f>PRODUCT(T34:Z34)</f>
        <v>58.060799999999986</v>
      </c>
      <c r="AF34" s="165"/>
      <c r="AG34" s="165"/>
      <c r="AH34" s="154" t="s">
        <v>17</v>
      </c>
      <c r="AI34" s="318"/>
    </row>
    <row r="35" spans="1:35" ht="15.75" thickBot="1">
      <c r="A35" s="360"/>
      <c r="B35" s="353" t="s">
        <v>19</v>
      </c>
      <c r="C35" s="354"/>
      <c r="D35" s="162">
        <v>1</v>
      </c>
      <c r="E35" s="162"/>
      <c r="F35" s="14">
        <v>25</v>
      </c>
      <c r="G35" s="14">
        <v>4.5999999999999996</v>
      </c>
      <c r="H35" s="14">
        <v>0.25</v>
      </c>
      <c r="I35" s="14">
        <v>0.4</v>
      </c>
      <c r="J35" s="394">
        <f>2.4</f>
        <v>2.4</v>
      </c>
      <c r="K35" s="395"/>
      <c r="L35" s="22" t="s">
        <v>16</v>
      </c>
      <c r="M35" s="120">
        <f>PRODUCT(D35:K35)</f>
        <v>27.599999999999998</v>
      </c>
      <c r="N35" s="154" t="s">
        <v>17</v>
      </c>
      <c r="O35" s="318"/>
      <c r="Q35" s="360"/>
      <c r="R35" s="353" t="s">
        <v>19</v>
      </c>
      <c r="S35" s="354"/>
      <c r="T35" s="162">
        <v>1</v>
      </c>
      <c r="U35" s="14">
        <v>25</v>
      </c>
      <c r="V35" s="14">
        <v>4.5999999999999996</v>
      </c>
      <c r="W35" s="14">
        <v>0.25</v>
      </c>
      <c r="X35" s="14">
        <v>0.4</v>
      </c>
      <c r="Y35" s="474">
        <f>2.4</f>
        <v>2.4</v>
      </c>
      <c r="Z35" s="475"/>
      <c r="AA35" s="475"/>
      <c r="AB35" s="476"/>
      <c r="AC35" s="22" t="s">
        <v>16</v>
      </c>
      <c r="AD35" s="22"/>
      <c r="AE35" s="120">
        <f>PRODUCT(T35:Z35)</f>
        <v>27.599999999999998</v>
      </c>
      <c r="AF35" s="154"/>
      <c r="AG35" s="154"/>
      <c r="AH35" s="154" t="s">
        <v>17</v>
      </c>
      <c r="AI35" s="318"/>
    </row>
    <row r="36" spans="1:35" ht="15.75" thickBot="1">
      <c r="A36" s="360"/>
      <c r="B36" s="353" t="s">
        <v>20</v>
      </c>
      <c r="C36" s="354"/>
      <c r="D36" s="329">
        <f>1</f>
        <v>1</v>
      </c>
      <c r="E36" s="74"/>
      <c r="F36" s="180">
        <v>20</v>
      </c>
      <c r="G36" s="180">
        <v>5.6</v>
      </c>
      <c r="H36" s="310">
        <v>4.5999999999999996</v>
      </c>
      <c r="I36" s="311" t="s">
        <v>21</v>
      </c>
      <c r="J36" s="312"/>
      <c r="K36" s="312"/>
      <c r="L36" s="313"/>
      <c r="M36" s="139" t="s">
        <v>8</v>
      </c>
      <c r="N36" s="137" t="s">
        <v>9</v>
      </c>
      <c r="O36" s="318"/>
      <c r="Q36" s="360"/>
      <c r="R36" s="353" t="s">
        <v>20</v>
      </c>
      <c r="S36" s="354"/>
      <c r="T36" s="329">
        <f>1</f>
        <v>1</v>
      </c>
      <c r="U36" s="180">
        <v>20</v>
      </c>
      <c r="V36" s="180">
        <v>5.6</v>
      </c>
      <c r="W36" s="310">
        <v>4.5999999999999996</v>
      </c>
      <c r="X36" s="362" t="s">
        <v>21</v>
      </c>
      <c r="Y36" s="363"/>
      <c r="Z36" s="363"/>
      <c r="AA36" s="363"/>
      <c r="AB36" s="363"/>
      <c r="AC36" s="366"/>
      <c r="AD36" s="151"/>
      <c r="AE36" s="150" t="s">
        <v>8</v>
      </c>
      <c r="AF36" s="151"/>
      <c r="AG36" s="151"/>
      <c r="AH36" s="152" t="s">
        <v>9</v>
      </c>
      <c r="AI36" s="318"/>
    </row>
    <row r="37" spans="1:35" ht="15.75" thickBot="1">
      <c r="A37" s="370"/>
      <c r="B37" s="21" t="s">
        <v>22</v>
      </c>
      <c r="C37" s="18">
        <f>0.2</f>
        <v>0.2</v>
      </c>
      <c r="D37" s="364"/>
      <c r="E37" s="131"/>
      <c r="F37" s="309"/>
      <c r="G37" s="309"/>
      <c r="H37" s="309"/>
      <c r="I37" s="314">
        <f>0.3</f>
        <v>0.3</v>
      </c>
      <c r="J37" s="315"/>
      <c r="K37" s="316"/>
      <c r="L37" s="23" t="s">
        <v>23</v>
      </c>
      <c r="M37" s="120">
        <f>PRODUCT(D36:H37,I37)</f>
        <v>154.55999999999997</v>
      </c>
      <c r="N37" s="154" t="s">
        <v>17</v>
      </c>
      <c r="O37" s="319"/>
      <c r="Q37" s="361"/>
      <c r="R37" s="21" t="s">
        <v>22</v>
      </c>
      <c r="S37" s="18">
        <f>0.17</f>
        <v>0.17</v>
      </c>
      <c r="T37" s="364"/>
      <c r="U37" s="309"/>
      <c r="V37" s="309"/>
      <c r="W37" s="365"/>
      <c r="X37" s="314">
        <f>0.28</f>
        <v>0.28000000000000003</v>
      </c>
      <c r="Y37" s="315"/>
      <c r="Z37" s="315"/>
      <c r="AA37" s="315"/>
      <c r="AB37" s="316"/>
      <c r="AC37" s="23" t="s">
        <v>23</v>
      </c>
      <c r="AD37" s="23"/>
      <c r="AE37" s="120">
        <f>PRODUCT(T36:W37,X37)</f>
        <v>144.256</v>
      </c>
      <c r="AF37" s="154"/>
      <c r="AG37" s="154"/>
      <c r="AH37" s="154" t="s">
        <v>17</v>
      </c>
      <c r="AI37" s="319"/>
    </row>
    <row r="38" spans="1:35">
      <c r="A38" s="320" t="s">
        <v>24</v>
      </c>
      <c r="B38" s="323" t="s">
        <v>20</v>
      </c>
      <c r="C38" s="324"/>
      <c r="D38" s="329">
        <v>1</v>
      </c>
      <c r="E38" s="74"/>
      <c r="F38" s="180">
        <v>1</v>
      </c>
      <c r="G38" s="180">
        <f>25.4</f>
        <v>25.4</v>
      </c>
      <c r="H38" s="180">
        <f>24.4</f>
        <v>24.4</v>
      </c>
      <c r="I38" s="310">
        <f>0.2</f>
        <v>0.2</v>
      </c>
      <c r="J38" s="396"/>
      <c r="K38" s="397"/>
      <c r="L38" s="347" t="s">
        <v>23</v>
      </c>
      <c r="M38" s="329">
        <f>PRODUCT(D38:K40)*0.25</f>
        <v>30.987999999999996</v>
      </c>
      <c r="N38" s="310" t="s">
        <v>17</v>
      </c>
      <c r="O38" s="347">
        <f>M38</f>
        <v>30.987999999999996</v>
      </c>
      <c r="Q38" s="320" t="s">
        <v>24</v>
      </c>
      <c r="R38" s="323" t="s">
        <v>20</v>
      </c>
      <c r="S38" s="324"/>
      <c r="T38" s="329">
        <v>1</v>
      </c>
      <c r="U38" s="180">
        <v>1</v>
      </c>
      <c r="V38" s="180">
        <f>25.4</f>
        <v>25.4</v>
      </c>
      <c r="W38" s="180">
        <f>24.4</f>
        <v>24.4</v>
      </c>
      <c r="X38" s="310">
        <v>0.1</v>
      </c>
      <c r="Y38" s="396"/>
      <c r="Z38" s="396"/>
      <c r="AA38" s="396"/>
      <c r="AB38" s="397"/>
      <c r="AC38" s="347" t="s">
        <v>23</v>
      </c>
      <c r="AD38" s="105"/>
      <c r="AE38" s="329">
        <f>PRODUCT(T38:Z40)*0.25</f>
        <v>15.493999999999998</v>
      </c>
      <c r="AF38" s="115"/>
      <c r="AG38" s="115"/>
      <c r="AH38" s="310" t="s">
        <v>17</v>
      </c>
      <c r="AI38" s="347">
        <f>AE38</f>
        <v>15.493999999999998</v>
      </c>
    </row>
    <row r="39" spans="1:35">
      <c r="A39" s="321"/>
      <c r="B39" s="325"/>
      <c r="C39" s="326"/>
      <c r="D39" s="330"/>
      <c r="E39" s="75"/>
      <c r="F39" s="339"/>
      <c r="G39" s="339"/>
      <c r="H39" s="339"/>
      <c r="I39" s="345"/>
      <c r="J39" s="398"/>
      <c r="K39" s="399"/>
      <c r="L39" s="348"/>
      <c r="M39" s="330"/>
      <c r="N39" s="345"/>
      <c r="O39" s="348"/>
      <c r="Q39" s="321"/>
      <c r="R39" s="325"/>
      <c r="S39" s="326"/>
      <c r="T39" s="330"/>
      <c r="U39" s="339"/>
      <c r="V39" s="339"/>
      <c r="W39" s="339"/>
      <c r="X39" s="345"/>
      <c r="Y39" s="398"/>
      <c r="Z39" s="398"/>
      <c r="AA39" s="398"/>
      <c r="AB39" s="399"/>
      <c r="AC39" s="348"/>
      <c r="AD39" s="105"/>
      <c r="AE39" s="330"/>
      <c r="AF39" s="116"/>
      <c r="AG39" s="116"/>
      <c r="AH39" s="345"/>
      <c r="AI39" s="348"/>
    </row>
    <row r="40" spans="1:35" ht="15.75" thickBot="1">
      <c r="A40" s="322"/>
      <c r="B40" s="327"/>
      <c r="C40" s="328"/>
      <c r="D40" s="331"/>
      <c r="E40" s="76"/>
      <c r="F40" s="340"/>
      <c r="G40" s="340"/>
      <c r="H40" s="340"/>
      <c r="I40" s="346"/>
      <c r="J40" s="400"/>
      <c r="K40" s="401"/>
      <c r="L40" s="349"/>
      <c r="M40" s="331"/>
      <c r="N40" s="346"/>
      <c r="O40" s="349"/>
      <c r="Q40" s="322"/>
      <c r="R40" s="327"/>
      <c r="S40" s="328"/>
      <c r="T40" s="331"/>
      <c r="U40" s="340"/>
      <c r="V40" s="340"/>
      <c r="W40" s="340"/>
      <c r="X40" s="346"/>
      <c r="Y40" s="400"/>
      <c r="Z40" s="400"/>
      <c r="AA40" s="400"/>
      <c r="AB40" s="401"/>
      <c r="AC40" s="349"/>
      <c r="AD40" s="106"/>
      <c r="AE40" s="331"/>
      <c r="AF40" s="117"/>
      <c r="AG40" s="117"/>
      <c r="AH40" s="346"/>
      <c r="AI40" s="349"/>
    </row>
    <row r="41" spans="1:35" ht="31.5" customHeight="1" thickBot="1">
      <c r="A41" s="342" t="s">
        <v>39</v>
      </c>
      <c r="B41" s="343"/>
      <c r="C41" s="343"/>
      <c r="D41" s="343"/>
      <c r="E41" s="343"/>
      <c r="F41" s="343"/>
      <c r="G41" s="343"/>
      <c r="H41" s="343"/>
      <c r="I41" s="343"/>
      <c r="J41" s="343"/>
      <c r="K41" s="343"/>
      <c r="L41" s="343"/>
      <c r="M41" s="344"/>
      <c r="N41" s="64" t="s">
        <v>17</v>
      </c>
      <c r="O41" s="67">
        <f>O33+O38</f>
        <v>317.28879999999998</v>
      </c>
      <c r="Q41" s="332" t="s">
        <v>40</v>
      </c>
      <c r="R41" s="333"/>
      <c r="S41" s="333"/>
      <c r="T41" s="333"/>
      <c r="U41" s="333"/>
      <c r="V41" s="333"/>
      <c r="W41" s="333"/>
      <c r="X41" s="333"/>
      <c r="Y41" s="333"/>
      <c r="Z41" s="333"/>
      <c r="AA41" s="333"/>
      <c r="AB41" s="333"/>
      <c r="AC41" s="333"/>
      <c r="AD41" s="333"/>
      <c r="AE41" s="334"/>
      <c r="AF41" s="153"/>
      <c r="AG41" s="153"/>
      <c r="AH41" s="65" t="s">
        <v>17</v>
      </c>
      <c r="AI41" s="67">
        <f>AI33+AI38</f>
        <v>291.49079999999998</v>
      </c>
    </row>
    <row r="42" spans="1:35" ht="15.75" thickBot="1"/>
    <row r="43" spans="1:35" ht="15.75" thickBot="1">
      <c r="A43" s="335" t="s">
        <v>41</v>
      </c>
      <c r="B43" s="336"/>
      <c r="C43" s="336"/>
      <c r="D43" s="336"/>
      <c r="E43" s="336"/>
      <c r="F43" s="336"/>
      <c r="G43" s="337"/>
    </row>
    <row r="44" spans="1:35" ht="15.75" thickBot="1">
      <c r="A44" s="338">
        <f>(O11+AI11+O21+AI21+O31+AI31+O41+AI41)</f>
        <v>2524.0324000000001</v>
      </c>
      <c r="B44" s="338"/>
      <c r="C44" s="338"/>
      <c r="D44" s="338"/>
      <c r="E44" s="338"/>
      <c r="F44" s="338"/>
      <c r="G44" s="338"/>
      <c r="Q44" s="10" t="s">
        <v>42</v>
      </c>
      <c r="R44" s="181">
        <v>18.3</v>
      </c>
      <c r="S44" s="182"/>
      <c r="T44" s="183"/>
      <c r="U44" s="8" t="s">
        <v>43</v>
      </c>
    </row>
    <row r="45" spans="1:35" ht="15.75" thickBot="1">
      <c r="A45" s="288" t="s">
        <v>10</v>
      </c>
      <c r="B45" s="289"/>
      <c r="C45" s="290"/>
      <c r="D45" s="238">
        <f>(O11+AI11+O21+AI21+O31+AI31+O41+AI41)</f>
        <v>2524.0324000000001</v>
      </c>
      <c r="E45" s="239"/>
      <c r="F45" s="240"/>
      <c r="G45" s="2" t="s">
        <v>17</v>
      </c>
      <c r="K45" s="6" t="s">
        <v>44</v>
      </c>
      <c r="Q45" s="10" t="s">
        <v>45</v>
      </c>
      <c r="R45" s="178">
        <v>1.6</v>
      </c>
      <c r="S45" s="178"/>
      <c r="T45" s="178"/>
      <c r="U45" s="8" t="s">
        <v>46</v>
      </c>
    </row>
    <row r="46" spans="1:35" ht="15.75" thickBot="1">
      <c r="A46" s="288" t="s">
        <v>47</v>
      </c>
      <c r="B46" s="289"/>
      <c r="C46" s="290"/>
      <c r="D46" s="235">
        <v>30</v>
      </c>
      <c r="E46" s="236"/>
      <c r="F46" s="237"/>
      <c r="G46" s="3" t="s">
        <v>48</v>
      </c>
      <c r="J46" s="341" t="s">
        <v>49</v>
      </c>
      <c r="K46" s="341"/>
      <c r="L46" s="341"/>
      <c r="Q46" s="10" t="s">
        <v>50</v>
      </c>
      <c r="R46" s="178">
        <v>0.3</v>
      </c>
      <c r="S46" s="178"/>
      <c r="T46" s="178"/>
      <c r="U46" s="8"/>
    </row>
    <row r="47" spans="1:35" ht="15.75" thickBot="1">
      <c r="A47" s="288" t="s">
        <v>51</v>
      </c>
      <c r="B47" s="289"/>
      <c r="C47" s="290"/>
      <c r="D47" s="238">
        <f>D45/D46</f>
        <v>84.134413333333342</v>
      </c>
      <c r="E47" s="239"/>
      <c r="F47" s="240"/>
      <c r="G47" s="2" t="s">
        <v>17</v>
      </c>
      <c r="J47" t="s">
        <v>52</v>
      </c>
      <c r="K47" s="9">
        <v>3.1</v>
      </c>
      <c r="L47" s="5" t="s">
        <v>53</v>
      </c>
      <c r="Q47" s="10" t="s">
        <v>54</v>
      </c>
      <c r="R47" s="178">
        <v>4250</v>
      </c>
      <c r="S47" s="178"/>
      <c r="T47" s="178"/>
      <c r="U47" s="8" t="s">
        <v>43</v>
      </c>
    </row>
    <row r="48" spans="1:35" ht="15.75" thickBot="1">
      <c r="A48" s="288" t="s">
        <v>55</v>
      </c>
      <c r="B48" s="289"/>
      <c r="C48" s="290"/>
      <c r="D48" s="303">
        <f>D50*D49</f>
        <v>3.6864000000000003</v>
      </c>
      <c r="E48" s="304"/>
      <c r="F48" s="305"/>
      <c r="G48" s="2" t="s">
        <v>17</v>
      </c>
      <c r="Q48" s="10" t="s">
        <v>56</v>
      </c>
      <c r="R48" s="178">
        <v>95</v>
      </c>
      <c r="S48" s="178"/>
      <c r="T48" s="178"/>
      <c r="U48" s="8" t="s">
        <v>57</v>
      </c>
    </row>
    <row r="49" spans="1:10" ht="15.75" thickBot="1">
      <c r="A49" s="288" t="s">
        <v>58</v>
      </c>
      <c r="B49" s="289"/>
      <c r="C49" s="290"/>
      <c r="D49" s="303">
        <v>2.4</v>
      </c>
      <c r="E49" s="304"/>
      <c r="F49" s="305"/>
      <c r="G49" s="4" t="s">
        <v>59</v>
      </c>
    </row>
    <row r="50" spans="1:10" ht="15.75" thickBot="1">
      <c r="A50" s="288" t="s">
        <v>60</v>
      </c>
      <c r="B50" s="289"/>
      <c r="C50" s="290"/>
      <c r="D50" s="303">
        <f>1.6*1.6*0.6</f>
        <v>1.5360000000000003</v>
      </c>
      <c r="E50" s="304"/>
      <c r="F50" s="305"/>
      <c r="G50" s="4" t="s">
        <v>61</v>
      </c>
    </row>
    <row r="51" spans="1:10" ht="15.75" thickBot="1">
      <c r="A51" s="288" t="s">
        <v>62</v>
      </c>
      <c r="B51" s="289"/>
      <c r="C51" s="290"/>
      <c r="D51" s="291">
        <f>1.6*1.6*10000</f>
        <v>25600.000000000004</v>
      </c>
      <c r="E51" s="292"/>
      <c r="F51" s="293"/>
      <c r="G51" s="47" t="s">
        <v>63</v>
      </c>
    </row>
    <row r="52" spans="1:10" ht="15.75" thickBot="1">
      <c r="A52" s="300" t="s">
        <v>64</v>
      </c>
      <c r="B52" s="301"/>
      <c r="C52" s="301"/>
      <c r="D52" s="301"/>
      <c r="E52" s="301"/>
      <c r="F52" s="301"/>
      <c r="G52" s="302"/>
    </row>
    <row r="53" spans="1:10" ht="15.75" thickBot="1">
      <c r="A53" s="288" t="s">
        <v>65</v>
      </c>
      <c r="B53" s="289"/>
      <c r="C53" s="290"/>
      <c r="D53" s="294">
        <f>(D47+D48)*1000</f>
        <v>87820.813333333354</v>
      </c>
      <c r="E53" s="295"/>
      <c r="F53" s="296"/>
      <c r="G53" s="48" t="s">
        <v>66</v>
      </c>
    </row>
    <row r="54" spans="1:10" ht="15.75" thickBot="1">
      <c r="A54" s="288" t="s">
        <v>67</v>
      </c>
      <c r="B54" s="289"/>
      <c r="C54" s="290"/>
      <c r="D54" s="297">
        <f>K47</f>
        <v>3.1</v>
      </c>
      <c r="E54" s="298"/>
      <c r="F54" s="299"/>
      <c r="G54" s="5" t="s">
        <v>53</v>
      </c>
    </row>
    <row r="55" spans="1:10" ht="15.75" thickBot="1">
      <c r="A55" s="288" t="s">
        <v>68</v>
      </c>
      <c r="B55" s="289"/>
      <c r="C55" s="290"/>
      <c r="D55" s="235">
        <f>D54*D51</f>
        <v>79360.000000000015</v>
      </c>
      <c r="E55" s="236"/>
      <c r="F55" s="237"/>
      <c r="G55" s="2" t="s">
        <v>69</v>
      </c>
    </row>
    <row r="56" spans="1:10" ht="15.75" thickBot="1">
      <c r="A56" s="288" t="s">
        <v>70</v>
      </c>
      <c r="B56" s="289"/>
      <c r="C56" s="290"/>
      <c r="D56" s="306">
        <f>D53/D55</f>
        <v>1.1066130712365592</v>
      </c>
      <c r="E56" s="307"/>
      <c r="F56" s="308"/>
      <c r="G56" s="2" t="s">
        <v>71</v>
      </c>
    </row>
    <row r="57" spans="1:10" ht="15.75" thickBot="1">
      <c r="A57" s="288" t="s">
        <v>72</v>
      </c>
      <c r="B57" s="289"/>
      <c r="C57" s="290"/>
      <c r="D57" s="238">
        <f>D56*10</f>
        <v>11.066130712365592</v>
      </c>
      <c r="E57" s="239"/>
      <c r="F57" s="240"/>
      <c r="G57" s="7" t="s">
        <v>73</v>
      </c>
    </row>
    <row r="58" spans="1:10" ht="15.75" thickBot="1">
      <c r="A58" s="288" t="s">
        <v>74</v>
      </c>
      <c r="B58" s="289"/>
      <c r="C58" s="290"/>
      <c r="D58" s="286">
        <f>((R44*R45*(1-(R46^2))/R47)*R48)</f>
        <v>0.59558964705882356</v>
      </c>
      <c r="E58" s="287"/>
      <c r="F58" s="287"/>
      <c r="G58" s="7" t="s">
        <v>71</v>
      </c>
    </row>
    <row r="59" spans="1:10" ht="15.75" thickBot="1">
      <c r="A59" s="288" t="s">
        <v>74</v>
      </c>
      <c r="B59" s="289"/>
      <c r="C59" s="290"/>
      <c r="D59" s="238">
        <f>D58*10</f>
        <v>5.955896470588236</v>
      </c>
      <c r="E59" s="239"/>
      <c r="F59" s="240"/>
      <c r="G59" s="7" t="s">
        <v>73</v>
      </c>
    </row>
    <row r="61" spans="1:10" ht="15.75" thickBot="1"/>
    <row r="62" spans="1:10">
      <c r="B62" s="216" t="s">
        <v>75</v>
      </c>
      <c r="C62" s="247"/>
      <c r="D62" s="247"/>
      <c r="E62" s="247"/>
      <c r="F62" s="247"/>
      <c r="G62" s="247"/>
      <c r="H62" s="247"/>
      <c r="I62" s="247"/>
      <c r="J62" s="217"/>
    </row>
    <row r="63" spans="1:10" ht="15.75" thickBot="1">
      <c r="B63" s="248"/>
      <c r="C63" s="249"/>
      <c r="D63" s="249"/>
      <c r="E63" s="249"/>
      <c r="F63" s="249"/>
      <c r="G63" s="249"/>
      <c r="H63" s="249"/>
      <c r="I63" s="249"/>
      <c r="J63" s="250"/>
    </row>
    <row r="64" spans="1:10" ht="39" customHeight="1" thickBot="1">
      <c r="B64" s="278" t="s">
        <v>76</v>
      </c>
      <c r="C64" s="279"/>
      <c r="D64" s="279"/>
      <c r="E64" s="279"/>
      <c r="F64" s="279"/>
      <c r="G64" s="279"/>
      <c r="H64" s="279"/>
      <c r="I64" s="279"/>
      <c r="J64" s="280"/>
    </row>
    <row r="65" spans="2:24" ht="15.75" thickBot="1">
      <c r="B65" s="241" t="s">
        <v>77</v>
      </c>
      <c r="C65" s="246"/>
      <c r="D65" s="246"/>
      <c r="E65" s="246"/>
      <c r="F65" s="246"/>
      <c r="G65" s="246"/>
      <c r="H65" s="246"/>
      <c r="I65" s="246"/>
      <c r="J65" s="242"/>
    </row>
    <row r="66" spans="2:24" ht="15.75" thickBot="1">
      <c r="B66" s="20" t="s">
        <v>78</v>
      </c>
      <c r="C66" s="256">
        <v>35</v>
      </c>
      <c r="D66" s="257"/>
      <c r="E66" s="257"/>
      <c r="F66" s="257"/>
      <c r="G66" s="257"/>
      <c r="H66" s="257"/>
      <c r="I66" s="257"/>
      <c r="J66" s="270"/>
    </row>
    <row r="67" spans="2:24" ht="15.75" thickBot="1">
      <c r="B67" s="20" t="s">
        <v>79</v>
      </c>
      <c r="C67" s="256">
        <v>33</v>
      </c>
      <c r="D67" s="257"/>
      <c r="E67" s="257"/>
      <c r="F67" s="257"/>
      <c r="G67" s="257"/>
      <c r="H67" s="257"/>
      <c r="I67" s="257"/>
      <c r="J67" s="270"/>
    </row>
    <row r="68" spans="2:24" ht="15.75" thickBot="1">
      <c r="B68" s="20" t="s">
        <v>80</v>
      </c>
      <c r="C68" s="284">
        <f>C67/C66</f>
        <v>0.94285714285714284</v>
      </c>
      <c r="D68" s="285"/>
      <c r="E68" s="285"/>
      <c r="F68" s="285"/>
      <c r="G68" s="285"/>
      <c r="H68" s="285"/>
      <c r="I68" s="285"/>
      <c r="J68" s="285"/>
      <c r="K68" s="93" t="s">
        <v>81</v>
      </c>
    </row>
    <row r="69" spans="2:24" ht="15.75" thickBot="1">
      <c r="B69" s="241" t="s">
        <v>82</v>
      </c>
      <c r="C69" s="246"/>
      <c r="D69" s="246"/>
      <c r="E69" s="246"/>
      <c r="F69" s="246"/>
      <c r="G69" s="246"/>
      <c r="H69" s="246"/>
      <c r="I69" s="246"/>
      <c r="J69" s="242"/>
    </row>
    <row r="70" spans="2:24" ht="15.75" thickBot="1">
      <c r="B70" s="241" t="s">
        <v>83</v>
      </c>
      <c r="C70" s="246"/>
      <c r="D70" s="246"/>
      <c r="E70" s="246"/>
      <c r="F70" s="246"/>
      <c r="G70" s="246"/>
      <c r="H70" s="246"/>
      <c r="I70" s="246"/>
      <c r="J70" s="242"/>
    </row>
    <row r="71" spans="2:24" ht="15.75" thickBot="1">
      <c r="B71" s="49" t="s">
        <v>84</v>
      </c>
      <c r="C71" s="96">
        <f>(0.75+0.5*(C68))</f>
        <v>1.2214285714285715</v>
      </c>
      <c r="D71" s="281" t="s">
        <v>85</v>
      </c>
      <c r="E71" s="282"/>
      <c r="F71" s="283"/>
      <c r="G71" s="50">
        <v>2</v>
      </c>
      <c r="H71" s="241" t="s">
        <v>86</v>
      </c>
      <c r="I71" s="246"/>
      <c r="J71" s="242"/>
    </row>
    <row r="72" spans="2:24" ht="15.75" thickBot="1"/>
    <row r="73" spans="2:24" ht="15.75" thickBot="1">
      <c r="B73" s="241" t="s">
        <v>87</v>
      </c>
      <c r="C73" s="246"/>
      <c r="D73" s="246"/>
      <c r="E73" s="246"/>
      <c r="F73" s="246"/>
      <c r="G73" s="246"/>
      <c r="H73" s="246"/>
      <c r="I73" s="246"/>
      <c r="J73" s="242"/>
    </row>
    <row r="74" spans="2:24" ht="15.75" thickBot="1">
      <c r="B74" s="51" t="s">
        <v>88</v>
      </c>
      <c r="C74" s="95">
        <f>Q85/D75</f>
        <v>0.13257575757575757</v>
      </c>
      <c r="D74" s="276" t="s">
        <v>89</v>
      </c>
      <c r="E74" s="277"/>
      <c r="F74" s="214"/>
      <c r="G74" s="94">
        <v>0.125</v>
      </c>
      <c r="H74" s="248" t="s">
        <v>86</v>
      </c>
      <c r="I74" s="249"/>
      <c r="J74" s="250"/>
    </row>
    <row r="75" spans="2:24" ht="15.75" thickBot="1">
      <c r="B75" s="20" t="s">
        <v>90</v>
      </c>
      <c r="C75" s="2" t="s">
        <v>91</v>
      </c>
      <c r="D75" s="273">
        <f>C76*C77*C78</f>
        <v>8</v>
      </c>
      <c r="E75" s="274"/>
      <c r="F75" s="274"/>
      <c r="G75" s="274"/>
      <c r="H75" s="274"/>
      <c r="I75" s="274"/>
      <c r="J75" s="275"/>
    </row>
    <row r="76" spans="2:24" ht="15.75" thickBot="1">
      <c r="B76" s="20" t="s">
        <v>92</v>
      </c>
      <c r="C76" s="256">
        <v>8</v>
      </c>
      <c r="D76" s="257"/>
      <c r="E76" s="257"/>
      <c r="F76" s="257"/>
      <c r="G76" s="257"/>
      <c r="H76" s="257"/>
      <c r="I76" s="257"/>
      <c r="J76" s="270"/>
    </row>
    <row r="77" spans="2:24" ht="15.75" thickBot="1">
      <c r="B77" s="20" t="s">
        <v>93</v>
      </c>
      <c r="C77" s="256">
        <v>1</v>
      </c>
      <c r="D77" s="257"/>
      <c r="E77" s="257"/>
      <c r="F77" s="257"/>
      <c r="G77" s="257"/>
      <c r="H77" s="257"/>
      <c r="I77" s="257"/>
      <c r="J77" s="270"/>
    </row>
    <row r="78" spans="2:24" ht="15.75" thickBot="1">
      <c r="B78" s="20" t="s">
        <v>94</v>
      </c>
      <c r="C78" s="256">
        <v>1</v>
      </c>
      <c r="D78" s="257"/>
      <c r="E78" s="257"/>
      <c r="F78" s="257"/>
      <c r="G78" s="257"/>
      <c r="H78" s="257"/>
      <c r="I78" s="257"/>
      <c r="J78" s="270"/>
    </row>
    <row r="79" spans="2:24" ht="15.75" thickBot="1"/>
    <row r="80" spans="2:24" ht="15.75" thickBot="1">
      <c r="B80" s="241" t="s">
        <v>95</v>
      </c>
      <c r="C80" s="242"/>
      <c r="D80" s="273">
        <v>0.4</v>
      </c>
      <c r="E80" s="274"/>
      <c r="F80" s="274"/>
      <c r="G80" s="274"/>
      <c r="H80" s="274"/>
      <c r="I80" s="274"/>
      <c r="J80" s="274"/>
      <c r="K80" s="274"/>
      <c r="L80" s="274"/>
      <c r="M80" s="274"/>
      <c r="N80" s="274"/>
      <c r="O80" s="274"/>
      <c r="P80" s="274"/>
      <c r="Q80" s="275"/>
      <c r="W80" s="70" t="s">
        <v>96</v>
      </c>
      <c r="X80" s="71">
        <v>25.9</v>
      </c>
    </row>
    <row r="81" spans="1:29" ht="15.75" thickBot="1">
      <c r="B81" s="241" t="s">
        <v>97</v>
      </c>
      <c r="C81" s="242"/>
      <c r="D81" s="273">
        <v>2.5</v>
      </c>
      <c r="E81" s="274"/>
      <c r="F81" s="274"/>
      <c r="G81" s="274"/>
      <c r="H81" s="274"/>
      <c r="I81" s="274"/>
      <c r="J81" s="274"/>
      <c r="K81" s="274"/>
      <c r="L81" s="274"/>
      <c r="M81" s="274"/>
      <c r="N81" s="274"/>
      <c r="O81" s="274"/>
      <c r="P81" s="274"/>
      <c r="Q81" s="275"/>
      <c r="X81" s="159" t="s">
        <v>98</v>
      </c>
      <c r="Z81" s="8">
        <f>X80^4</f>
        <v>449986.05609999993</v>
      </c>
      <c r="AA81" s="88"/>
      <c r="AB81" s="88"/>
    </row>
    <row r="82" spans="1:29">
      <c r="C82" s="12" t="s">
        <v>99</v>
      </c>
      <c r="D82" s="9"/>
      <c r="E82" s="9"/>
      <c r="F82" s="9"/>
      <c r="H82" s="9"/>
      <c r="J82" s="9"/>
      <c r="X82" s="159">
        <v>12</v>
      </c>
      <c r="Z82" s="174">
        <f>Z81/X82</f>
        <v>37498.838008333325</v>
      </c>
      <c r="AA82" s="89"/>
      <c r="AB82" s="89"/>
    </row>
    <row r="83" spans="1:29">
      <c r="B83" s="157" t="s">
        <v>100</v>
      </c>
      <c r="C83" s="118" t="s">
        <v>101</v>
      </c>
      <c r="D83" s="253">
        <f>C68</f>
        <v>0.94285714285714284</v>
      </c>
      <c r="E83" s="254"/>
      <c r="F83" s="255"/>
      <c r="G83" s="201" t="s">
        <v>102</v>
      </c>
      <c r="H83" s="201"/>
      <c r="I83" s="157">
        <f>D80</f>
        <v>0.4</v>
      </c>
      <c r="J83" s="177" t="s">
        <v>103</v>
      </c>
      <c r="K83" s="177"/>
      <c r="L83" s="177"/>
      <c r="M83" s="177"/>
      <c r="N83" s="177"/>
      <c r="O83" s="17"/>
      <c r="X83" s="159">
        <f>7500*5</f>
        <v>37500</v>
      </c>
      <c r="Y83" s="9" t="s">
        <v>104</v>
      </c>
      <c r="Z83" s="174"/>
      <c r="AA83" s="89"/>
      <c r="AB83" s="89"/>
    </row>
    <row r="84" spans="1:29" ht="15.75" thickBot="1">
      <c r="D84" s="9"/>
      <c r="E84" s="9"/>
      <c r="F84" s="9"/>
      <c r="H84" s="9"/>
      <c r="J84" s="9"/>
    </row>
    <row r="85" spans="1:29" ht="15.75" thickBot="1">
      <c r="B85" s="125" t="s">
        <v>105</v>
      </c>
      <c r="C85" s="18" t="s">
        <v>106</v>
      </c>
      <c r="D85" s="256">
        <f>D80</f>
        <v>0.4</v>
      </c>
      <c r="E85" s="257"/>
      <c r="F85" s="258"/>
      <c r="G85" s="11" t="s">
        <v>107</v>
      </c>
      <c r="H85" s="98">
        <f>C68</f>
        <v>0.94285714285714284</v>
      </c>
      <c r="I85" s="11" t="s">
        <v>108</v>
      </c>
      <c r="J85" s="123">
        <f>D81</f>
        <v>2.5</v>
      </c>
      <c r="K85" s="271" t="s">
        <v>109</v>
      </c>
      <c r="L85" s="246"/>
      <c r="M85" s="246"/>
      <c r="N85" s="272"/>
      <c r="O85" s="158"/>
      <c r="P85" s="52" t="s">
        <v>110</v>
      </c>
      <c r="Q85" s="97">
        <f>2.5*(D80/C68)</f>
        <v>1.0606060606060606</v>
      </c>
    </row>
    <row r="86" spans="1:29">
      <c r="C86" s="12" t="s">
        <v>111</v>
      </c>
      <c r="D86" s="9"/>
      <c r="E86" s="9"/>
      <c r="F86" s="9"/>
      <c r="H86" s="9"/>
      <c r="J86" s="9"/>
    </row>
    <row r="87" spans="1:29">
      <c r="B87" s="118" t="s">
        <v>112</v>
      </c>
      <c r="C87" s="118" t="s">
        <v>113</v>
      </c>
      <c r="D87" s="253">
        <f>C68</f>
        <v>0.94285714285714284</v>
      </c>
      <c r="E87" s="254"/>
      <c r="F87" s="255"/>
      <c r="G87" s="157" t="s">
        <v>114</v>
      </c>
      <c r="H87" s="157">
        <f>D81</f>
        <v>2.5</v>
      </c>
      <c r="J87" s="178" t="s">
        <v>115</v>
      </c>
      <c r="K87" s="178"/>
      <c r="L87" s="178"/>
      <c r="M87" s="178"/>
      <c r="N87" s="178"/>
      <c r="O87" s="19"/>
    </row>
    <row r="88" spans="1:29" ht="15.75" thickBot="1"/>
    <row r="89" spans="1:29" ht="15.75" thickBot="1">
      <c r="B89" s="263" t="s">
        <v>116</v>
      </c>
      <c r="C89" s="246"/>
      <c r="D89" s="246"/>
      <c r="E89" s="246"/>
      <c r="F89" s="246"/>
      <c r="G89" s="246"/>
      <c r="H89" s="246"/>
      <c r="I89" s="246"/>
      <c r="J89" s="242"/>
      <c r="X89" s="10" t="s">
        <v>117</v>
      </c>
      <c r="Y89" s="66">
        <f>((1/12)*(0.25)*(0.6^3))</f>
        <v>4.4999999999999997E-3</v>
      </c>
      <c r="Z89">
        <v>4500</v>
      </c>
      <c r="AC89" t="s">
        <v>118</v>
      </c>
    </row>
    <row r="90" spans="1:29">
      <c r="A90" s="259" t="s">
        <v>119</v>
      </c>
      <c r="B90" s="260"/>
      <c r="C90" s="264">
        <f>(C92*C93*C94*C95)/D75</f>
        <v>5.9659090909090905E-2</v>
      </c>
      <c r="D90" s="265"/>
      <c r="E90" s="265"/>
      <c r="F90" s="265"/>
      <c r="G90" s="265"/>
      <c r="H90" s="265"/>
      <c r="I90" s="265"/>
      <c r="J90" s="266"/>
      <c r="X90" s="10" t="s">
        <v>120</v>
      </c>
      <c r="Y90" s="66">
        <f>((1/12)*(0.4)*(0.4^3))</f>
        <v>2.1333333333333339E-3</v>
      </c>
      <c r="Z90">
        <v>2133</v>
      </c>
      <c r="AC90" t="s">
        <v>118</v>
      </c>
    </row>
    <row r="91" spans="1:29" ht="15.75" thickBot="1">
      <c r="A91" s="261"/>
      <c r="B91" s="262"/>
      <c r="C91" s="267"/>
      <c r="D91" s="268"/>
      <c r="E91" s="268"/>
      <c r="F91" s="268"/>
      <c r="G91" s="268"/>
      <c r="H91" s="268"/>
      <c r="I91" s="268"/>
      <c r="J91" s="269"/>
      <c r="X91" s="120" t="s">
        <v>121</v>
      </c>
      <c r="Y91" s="169">
        <f>Y89/Y90</f>
        <v>2.1093749999999991</v>
      </c>
    </row>
    <row r="92" spans="1:29" ht="15.75" thickBot="1">
      <c r="A92" s="251" t="s">
        <v>122</v>
      </c>
      <c r="B92" s="252"/>
      <c r="C92" s="235">
        <v>0.45</v>
      </c>
      <c r="D92" s="236"/>
      <c r="E92" s="236"/>
      <c r="F92" s="236"/>
      <c r="G92" s="236"/>
      <c r="H92" s="236"/>
      <c r="I92" s="236"/>
      <c r="J92" s="237"/>
    </row>
    <row r="93" spans="1:29" ht="15.75" thickBot="1">
      <c r="A93" s="251" t="s">
        <v>123</v>
      </c>
      <c r="B93" s="252"/>
      <c r="C93" s="235">
        <v>1</v>
      </c>
      <c r="D93" s="236"/>
      <c r="E93" s="236"/>
      <c r="F93" s="236"/>
      <c r="G93" s="236"/>
      <c r="H93" s="236"/>
      <c r="I93" s="236"/>
      <c r="J93" s="237"/>
    </row>
    <row r="94" spans="1:29" ht="15.75" thickBot="1">
      <c r="A94" s="251" t="s">
        <v>124</v>
      </c>
      <c r="B94" s="252"/>
      <c r="C94" s="235">
        <v>1</v>
      </c>
      <c r="D94" s="236"/>
      <c r="E94" s="236"/>
      <c r="F94" s="236"/>
      <c r="G94" s="236"/>
      <c r="H94" s="236"/>
      <c r="I94" s="236"/>
      <c r="J94" s="237"/>
    </row>
    <row r="95" spans="1:29" ht="15.75" thickBot="1">
      <c r="A95" s="251" t="s">
        <v>110</v>
      </c>
      <c r="B95" s="252"/>
      <c r="C95" s="238">
        <f>Q85</f>
        <v>1.0606060606060606</v>
      </c>
      <c r="D95" s="239"/>
      <c r="E95" s="239"/>
      <c r="F95" s="239"/>
      <c r="G95" s="239"/>
      <c r="H95" s="239"/>
      <c r="I95" s="239"/>
      <c r="J95" s="240"/>
      <c r="S95" s="53" t="s">
        <v>125</v>
      </c>
      <c r="T95" s="54"/>
      <c r="U95" s="216" t="s">
        <v>126</v>
      </c>
      <c r="V95" s="217"/>
      <c r="W95" s="220" t="s">
        <v>127</v>
      </c>
      <c r="X95" s="221"/>
    </row>
    <row r="96" spans="1:29" ht="15.75" thickBot="1">
      <c r="S96" s="178"/>
      <c r="T96" s="178"/>
      <c r="U96" s="201"/>
      <c r="V96" s="201"/>
      <c r="W96" s="222"/>
      <c r="X96" s="223"/>
    </row>
    <row r="97" spans="2:33">
      <c r="B97" s="216" t="s">
        <v>128</v>
      </c>
      <c r="C97" s="247"/>
      <c r="D97" s="247"/>
      <c r="E97" s="247"/>
      <c r="F97" s="247"/>
      <c r="G97" s="247"/>
      <c r="H97" s="247"/>
      <c r="I97" s="247"/>
      <c r="J97" s="217"/>
      <c r="S97" s="178"/>
      <c r="T97" s="178"/>
      <c r="U97" s="201"/>
      <c r="V97" s="201"/>
      <c r="W97" s="224"/>
      <c r="X97" s="225"/>
    </row>
    <row r="98" spans="2:33" ht="15.75" thickBot="1">
      <c r="B98" s="248"/>
      <c r="C98" s="249"/>
      <c r="D98" s="249"/>
      <c r="E98" s="249"/>
      <c r="F98" s="249"/>
      <c r="G98" s="249"/>
      <c r="H98" s="249"/>
      <c r="I98" s="249"/>
      <c r="J98" s="250"/>
      <c r="M98" s="159" t="s">
        <v>129</v>
      </c>
      <c r="N98" s="184" t="s">
        <v>130</v>
      </c>
      <c r="O98" s="185"/>
      <c r="P98" s="186"/>
      <c r="S98" s="178"/>
      <c r="T98" s="178"/>
      <c r="U98" s="201"/>
      <c r="V98" s="201"/>
      <c r="W98" s="226"/>
      <c r="X98" s="227"/>
    </row>
    <row r="99" spans="2:33" ht="15.75" thickBot="1">
      <c r="B99" s="241" t="s">
        <v>131</v>
      </c>
      <c r="C99" s="246"/>
      <c r="D99" s="242"/>
      <c r="E99" s="126"/>
      <c r="F99" s="243">
        <f>C90*D45</f>
        <v>150.58147840909089</v>
      </c>
      <c r="G99" s="244"/>
      <c r="H99" s="245"/>
      <c r="I99" s="241" t="s">
        <v>17</v>
      </c>
      <c r="J99" s="242"/>
      <c r="M99" s="159" t="s">
        <v>132</v>
      </c>
      <c r="N99" s="178" t="s">
        <v>133</v>
      </c>
      <c r="O99" s="178"/>
      <c r="P99" s="178"/>
    </row>
    <row r="100" spans="2:33" ht="15.75" thickBot="1">
      <c r="R100" s="177" t="s">
        <v>134</v>
      </c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212"/>
      <c r="AE100" s="200" t="s">
        <v>135</v>
      </c>
      <c r="AF100" s="102"/>
      <c r="AG100" s="102"/>
    </row>
    <row r="101" spans="2:33" ht="15.75" thickBot="1">
      <c r="B101" s="191" t="s">
        <v>136</v>
      </c>
      <c r="C101" s="192"/>
      <c r="D101" s="192"/>
      <c r="E101" s="192"/>
      <c r="F101" s="192"/>
      <c r="G101" s="192"/>
      <c r="H101" s="192"/>
      <c r="I101" s="192"/>
      <c r="J101" s="192"/>
      <c r="K101" s="192"/>
      <c r="L101" s="192"/>
      <c r="M101" s="192"/>
      <c r="N101" s="193"/>
      <c r="R101" s="201">
        <v>12</v>
      </c>
      <c r="S101" s="201"/>
      <c r="T101" s="201"/>
      <c r="U101" s="201"/>
      <c r="V101" s="201"/>
      <c r="W101" s="201"/>
      <c r="X101" s="201"/>
      <c r="Y101" s="201" t="s">
        <v>137</v>
      </c>
      <c r="Z101" s="202">
        <f>((R101*X102*X103)/(X105))*X104</f>
        <v>13355.252809288191</v>
      </c>
      <c r="AA101" s="203" t="s">
        <v>138</v>
      </c>
      <c r="AB101" s="166"/>
      <c r="AC101" s="209"/>
      <c r="AD101" s="213"/>
      <c r="AE101" s="200"/>
      <c r="AF101" s="102"/>
      <c r="AG101" s="102"/>
    </row>
    <row r="102" spans="2:33" ht="21">
      <c r="B102" s="194" t="s">
        <v>139</v>
      </c>
      <c r="C102" s="194"/>
      <c r="D102" s="195" t="s">
        <v>140</v>
      </c>
      <c r="E102" s="196"/>
      <c r="F102" s="197"/>
      <c r="G102" s="170" t="s">
        <v>141</v>
      </c>
      <c r="H102" s="68" t="s">
        <v>142</v>
      </c>
      <c r="I102" s="68" t="s">
        <v>143</v>
      </c>
      <c r="J102" s="68" t="s">
        <v>144</v>
      </c>
      <c r="K102" s="170" t="s">
        <v>145</v>
      </c>
      <c r="L102" s="228" t="s">
        <v>146</v>
      </c>
      <c r="M102" s="229"/>
      <c r="N102" s="69" t="s">
        <v>147</v>
      </c>
      <c r="R102" s="177" t="s">
        <v>148</v>
      </c>
      <c r="S102" s="177"/>
      <c r="T102" s="177"/>
      <c r="U102" s="177"/>
      <c r="V102" s="118"/>
      <c r="W102" s="10" t="s">
        <v>54</v>
      </c>
      <c r="X102" s="66">
        <f>150000*SQRT(210)</f>
        <v>2173706.5119284159</v>
      </c>
      <c r="Y102" s="201"/>
      <c r="Z102" s="202"/>
      <c r="AA102" s="204"/>
      <c r="AB102" s="167"/>
      <c r="AC102" s="210"/>
      <c r="AD102" s="213"/>
      <c r="AE102" s="200"/>
      <c r="AF102" s="102"/>
      <c r="AG102" s="102"/>
    </row>
    <row r="103" spans="2:33">
      <c r="B103" s="178">
        <v>1</v>
      </c>
      <c r="C103" s="178"/>
      <c r="D103" s="181">
        <f>I3</f>
        <v>5</v>
      </c>
      <c r="E103" s="182"/>
      <c r="F103" s="183"/>
      <c r="G103" s="169">
        <f>O11</f>
        <v>328.80879999999996</v>
      </c>
      <c r="H103" s="120">
        <f>D103</f>
        <v>5</v>
      </c>
      <c r="I103" s="124">
        <f>N103*F99</f>
        <v>3.765879131295315</v>
      </c>
      <c r="J103" s="113">
        <f t="shared" ref="J103:J109" si="0">J104+I103</f>
        <v>150.58147840909089</v>
      </c>
      <c r="K103" s="124">
        <f>10788.43</f>
        <v>10788.43</v>
      </c>
      <c r="L103" s="230">
        <f>G103*(H103^C71)</f>
        <v>2347.9311953417978</v>
      </c>
      <c r="M103" s="231"/>
      <c r="N103" s="124">
        <f>L103/$L$111</f>
        <v>2.5008913254685922E-2</v>
      </c>
      <c r="R103" s="177" t="s">
        <v>149</v>
      </c>
      <c r="S103" s="177"/>
      <c r="T103" s="177"/>
      <c r="U103" s="177"/>
      <c r="V103" s="118"/>
      <c r="W103" s="10" t="s">
        <v>150</v>
      </c>
      <c r="X103" s="66">
        <f>((1/12)*(0.4)*(0.4^3))</f>
        <v>2.1333333333333339E-3</v>
      </c>
      <c r="Y103" s="201"/>
      <c r="Z103" s="202"/>
      <c r="AA103" s="204"/>
      <c r="AB103" s="167"/>
      <c r="AC103" s="210"/>
      <c r="AD103" s="213"/>
      <c r="AE103" s="200"/>
      <c r="AF103" s="102"/>
      <c r="AG103" s="102"/>
    </row>
    <row r="104" spans="2:33">
      <c r="B104" s="178">
        <v>2</v>
      </c>
      <c r="C104" s="178"/>
      <c r="D104" s="181">
        <f>X3</f>
        <v>4</v>
      </c>
      <c r="E104" s="182"/>
      <c r="F104" s="183"/>
      <c r="G104" s="169">
        <f>AI11</f>
        <v>317.28879999999998</v>
      </c>
      <c r="H104" s="120">
        <f>H103+D104</f>
        <v>9</v>
      </c>
      <c r="I104" s="124">
        <f>N104*F99</f>
        <v>7.4503181393306832</v>
      </c>
      <c r="J104" s="169">
        <f t="shared" si="0"/>
        <v>146.81559927779557</v>
      </c>
      <c r="K104" s="124">
        <v>15188</v>
      </c>
      <c r="L104" s="230">
        <f>G104*(H104^C71)</f>
        <v>4645.0865162362552</v>
      </c>
      <c r="M104" s="231"/>
      <c r="N104" s="124">
        <f t="shared" ref="N104:N110" si="1">L104/$L$111</f>
        <v>4.947698892349893E-2</v>
      </c>
      <c r="R104" s="177" t="s">
        <v>151</v>
      </c>
      <c r="S104" s="177"/>
      <c r="T104" s="177"/>
      <c r="U104" s="177"/>
      <c r="V104" s="118"/>
      <c r="W104" s="10" t="s">
        <v>152</v>
      </c>
      <c r="X104" s="66">
        <v>30</v>
      </c>
      <c r="Y104" s="201"/>
      <c r="Z104" s="202"/>
      <c r="AA104" s="204"/>
      <c r="AB104" s="167"/>
      <c r="AC104" s="210"/>
      <c r="AD104" s="213"/>
      <c r="AE104" s="200"/>
      <c r="AF104" s="102"/>
      <c r="AG104" s="102"/>
    </row>
    <row r="105" spans="2:33">
      <c r="B105" s="178">
        <v>3</v>
      </c>
      <c r="C105" s="178"/>
      <c r="D105" s="181">
        <f>I13</f>
        <v>4</v>
      </c>
      <c r="E105" s="182"/>
      <c r="F105" s="183"/>
      <c r="G105" s="169">
        <f>O21</f>
        <v>317.28879999999998</v>
      </c>
      <c r="H105" s="120">
        <f t="shared" ref="H105:H110" si="2">H104+D105</f>
        <v>13</v>
      </c>
      <c r="I105" s="124">
        <f>N105*F99</f>
        <v>11.674491962430674</v>
      </c>
      <c r="J105" s="169">
        <f t="shared" si="0"/>
        <v>139.36528113846489</v>
      </c>
      <c r="K105" s="124">
        <v>15422.21</v>
      </c>
      <c r="L105" s="230">
        <f>G105*(H105^C71)</f>
        <v>7278.7529585236016</v>
      </c>
      <c r="M105" s="231"/>
      <c r="N105" s="124">
        <f t="shared" si="1"/>
        <v>7.75294019276003E-2</v>
      </c>
      <c r="R105" s="177" t="s">
        <v>153</v>
      </c>
      <c r="S105" s="177"/>
      <c r="T105" s="177"/>
      <c r="U105" s="177"/>
      <c r="V105" s="118"/>
      <c r="W105" s="10" t="s">
        <v>154</v>
      </c>
      <c r="X105" s="66">
        <f>5^3</f>
        <v>125</v>
      </c>
      <c r="Y105" s="201"/>
      <c r="Z105" s="202"/>
      <c r="AA105" s="205"/>
      <c r="AB105" s="168"/>
      <c r="AC105" s="211"/>
      <c r="AD105" s="213"/>
      <c r="AE105" s="200"/>
      <c r="AF105" s="102"/>
      <c r="AG105" s="102"/>
    </row>
    <row r="106" spans="2:33">
      <c r="B106" s="178">
        <v>4</v>
      </c>
      <c r="C106" s="178"/>
      <c r="D106" s="181">
        <f>X13</f>
        <v>4</v>
      </c>
      <c r="E106" s="182"/>
      <c r="F106" s="183"/>
      <c r="G106" s="169">
        <f>AI21</f>
        <v>317.28879999999998</v>
      </c>
      <c r="H106" s="120">
        <f t="shared" si="2"/>
        <v>17</v>
      </c>
      <c r="I106" s="124">
        <f>N106*F99</f>
        <v>16.200977590739104</v>
      </c>
      <c r="J106" s="169">
        <f t="shared" si="0"/>
        <v>127.69078917603422</v>
      </c>
      <c r="K106" s="124">
        <v>15422.21</v>
      </c>
      <c r="L106" s="230">
        <f>G106*(H106^C71)</f>
        <v>10100.903229798001</v>
      </c>
      <c r="M106" s="231"/>
      <c r="N106" s="124">
        <f t="shared" si="1"/>
        <v>0.10758944434537454</v>
      </c>
      <c r="R106" s="177" t="s">
        <v>155</v>
      </c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213"/>
      <c r="AE106" s="200"/>
      <c r="AF106" s="102"/>
      <c r="AG106" s="102"/>
    </row>
    <row r="107" spans="2:33">
      <c r="B107" s="178">
        <v>5</v>
      </c>
      <c r="C107" s="178"/>
      <c r="D107" s="181">
        <f>I23</f>
        <v>4</v>
      </c>
      <c r="E107" s="182"/>
      <c r="F107" s="183"/>
      <c r="G107" s="169">
        <f>O31</f>
        <v>317.28879999999998</v>
      </c>
      <c r="H107" s="120">
        <f t="shared" si="2"/>
        <v>21</v>
      </c>
      <c r="I107" s="124">
        <f>N107*F99</f>
        <v>20.971629537558638</v>
      </c>
      <c r="J107" s="169">
        <f t="shared" si="0"/>
        <v>111.48981158529512</v>
      </c>
      <c r="K107" s="124">
        <v>15422.21</v>
      </c>
      <c r="L107" s="230">
        <f>G107*(H107^C71)</f>
        <v>13075.285077311761</v>
      </c>
      <c r="M107" s="231"/>
      <c r="N107" s="124">
        <f t="shared" si="1"/>
        <v>0.13927097647815723</v>
      </c>
      <c r="R107" s="201">
        <v>12</v>
      </c>
      <c r="S107" s="201"/>
      <c r="T107" s="201"/>
      <c r="U107" s="201"/>
      <c r="V107" s="201"/>
      <c r="W107" s="201"/>
      <c r="X107" s="201"/>
      <c r="Y107" s="10" t="s">
        <v>156</v>
      </c>
      <c r="Z107" s="16">
        <f>((R107*X108*X109)/(X111))*X110</f>
        <v>26084.478143140997</v>
      </c>
      <c r="AA107" s="203" t="s">
        <v>157</v>
      </c>
      <c r="AB107" s="206"/>
      <c r="AC107" s="209"/>
      <c r="AD107" s="213"/>
      <c r="AE107" s="200"/>
      <c r="AF107" s="102"/>
      <c r="AG107" s="102"/>
    </row>
    <row r="108" spans="2:33">
      <c r="B108" s="178">
        <v>6</v>
      </c>
      <c r="C108" s="178"/>
      <c r="D108" s="181">
        <f>X23</f>
        <v>4</v>
      </c>
      <c r="E108" s="182"/>
      <c r="F108" s="183"/>
      <c r="G108" s="169">
        <f>AI31</f>
        <v>317.28879999999998</v>
      </c>
      <c r="H108" s="120">
        <f t="shared" si="2"/>
        <v>25</v>
      </c>
      <c r="I108" s="124">
        <f>N108*F99</f>
        <v>25.948939935734202</v>
      </c>
      <c r="J108" s="169">
        <f t="shared" si="0"/>
        <v>90.518182047736474</v>
      </c>
      <c r="K108" s="124">
        <v>15422.21</v>
      </c>
      <c r="L108" s="230">
        <f>G108*(H108^C71)</f>
        <v>16178.513286538924</v>
      </c>
      <c r="M108" s="231"/>
      <c r="N108" s="124">
        <f t="shared" si="1"/>
        <v>0.17232491146910944</v>
      </c>
      <c r="R108" s="177" t="s">
        <v>148</v>
      </c>
      <c r="S108" s="177"/>
      <c r="T108" s="177"/>
      <c r="U108" s="177"/>
      <c r="V108" s="118"/>
      <c r="W108" s="10" t="s">
        <v>54</v>
      </c>
      <c r="X108" s="15">
        <f>150000*SQRT(210)</f>
        <v>2173706.5119284159</v>
      </c>
      <c r="Y108" s="218" t="s">
        <v>158</v>
      </c>
      <c r="Z108" s="219">
        <f>Z107*7</f>
        <v>182591.34700198699</v>
      </c>
      <c r="AA108" s="204"/>
      <c r="AB108" s="207"/>
      <c r="AC108" s="210"/>
      <c r="AD108" s="213"/>
      <c r="AE108" s="200"/>
      <c r="AF108" s="102"/>
      <c r="AG108" s="102"/>
    </row>
    <row r="109" spans="2:33">
      <c r="B109" s="178">
        <v>7</v>
      </c>
      <c r="C109" s="178"/>
      <c r="D109" s="181">
        <f>I33</f>
        <v>4</v>
      </c>
      <c r="E109" s="182"/>
      <c r="F109" s="183"/>
      <c r="G109" s="169">
        <f>O41</f>
        <v>317.28879999999998</v>
      </c>
      <c r="H109" s="120">
        <f t="shared" si="2"/>
        <v>29</v>
      </c>
      <c r="I109" s="124">
        <f>N109*F99</f>
        <v>31.106450004967865</v>
      </c>
      <c r="J109" s="169">
        <f t="shared" si="0"/>
        <v>64.569242112002271</v>
      </c>
      <c r="K109" s="124">
        <v>15422.21</v>
      </c>
      <c r="L109" s="230">
        <f>G109*(H109^C71)</f>
        <v>19394.091471513217</v>
      </c>
      <c r="M109" s="231"/>
      <c r="N109" s="124">
        <f t="shared" si="1"/>
        <v>0.20657553859618574</v>
      </c>
      <c r="R109" s="177" t="s">
        <v>149</v>
      </c>
      <c r="S109" s="177"/>
      <c r="T109" s="177"/>
      <c r="U109" s="177"/>
      <c r="V109" s="118"/>
      <c r="W109" s="10" t="s">
        <v>150</v>
      </c>
      <c r="X109" s="15">
        <f>((1/12)*0.4*(0.4^3))</f>
        <v>2.1333333333333339E-3</v>
      </c>
      <c r="Y109" s="218"/>
      <c r="Z109" s="219"/>
      <c r="AA109" s="204"/>
      <c r="AB109" s="207"/>
      <c r="AC109" s="210"/>
      <c r="AD109" s="213"/>
      <c r="AE109" s="200"/>
      <c r="AF109" s="102"/>
      <c r="AG109" s="102"/>
    </row>
    <row r="110" spans="2:33">
      <c r="B110" s="178">
        <v>8</v>
      </c>
      <c r="C110" s="178"/>
      <c r="D110" s="181">
        <f>X33</f>
        <v>4</v>
      </c>
      <c r="E110" s="182"/>
      <c r="F110" s="183"/>
      <c r="G110" s="169">
        <f>AI41</f>
        <v>291.49079999999998</v>
      </c>
      <c r="H110" s="120">
        <f t="shared" si="2"/>
        <v>33</v>
      </c>
      <c r="I110" s="124">
        <f>N110*F99</f>
        <v>33.46279210703441</v>
      </c>
      <c r="J110" s="169">
        <f>I110</f>
        <v>33.46279210703441</v>
      </c>
      <c r="K110" s="124">
        <f>17177</f>
        <v>17177</v>
      </c>
      <c r="L110" s="230">
        <f>G110*(H110^C71)</f>
        <v>20863.211678362855</v>
      </c>
      <c r="M110" s="231"/>
      <c r="N110" s="124">
        <f t="shared" si="1"/>
        <v>0.2222238250053879</v>
      </c>
      <c r="R110" s="177" t="s">
        <v>151</v>
      </c>
      <c r="S110" s="177"/>
      <c r="T110" s="177"/>
      <c r="U110" s="177"/>
      <c r="V110" s="118"/>
      <c r="W110" s="10" t="s">
        <v>152</v>
      </c>
      <c r="X110" s="15">
        <v>30</v>
      </c>
      <c r="Y110" s="218"/>
      <c r="Z110" s="219"/>
      <c r="AA110" s="204"/>
      <c r="AB110" s="207"/>
      <c r="AC110" s="210"/>
      <c r="AD110" s="213"/>
      <c r="AE110" s="200"/>
      <c r="AF110" s="102"/>
      <c r="AG110" s="102"/>
    </row>
    <row r="111" spans="2:33">
      <c r="D111" s="179">
        <f>SUM(D103:F110)</f>
        <v>33</v>
      </c>
      <c r="E111" s="179"/>
      <c r="F111" s="179"/>
      <c r="G111" s="179">
        <f>SUM(G103:G110)</f>
        <v>2524.0324000000001</v>
      </c>
      <c r="L111" s="442">
        <f>SUM(L103:L110)</f>
        <v>93883.775413626412</v>
      </c>
      <c r="M111" s="442"/>
      <c r="N111" s="443">
        <f>SUM(N103:N110)</f>
        <v>1</v>
      </c>
      <c r="R111" s="177" t="s">
        <v>153</v>
      </c>
      <c r="S111" s="177"/>
      <c r="T111" s="177"/>
      <c r="U111" s="177"/>
      <c r="V111" s="118"/>
      <c r="W111" s="10" t="s">
        <v>154</v>
      </c>
      <c r="X111" s="15">
        <f>4^3</f>
        <v>64</v>
      </c>
      <c r="Y111" s="218"/>
      <c r="Z111" s="219"/>
      <c r="AA111" s="205"/>
      <c r="AB111" s="208"/>
      <c r="AC111" s="211"/>
      <c r="AD111" s="214"/>
      <c r="AE111" s="200"/>
      <c r="AF111" s="102"/>
      <c r="AG111" s="102"/>
    </row>
    <row r="112" spans="2:33">
      <c r="D112" s="179"/>
      <c r="E112" s="180"/>
      <c r="F112" s="180"/>
      <c r="G112" s="180"/>
      <c r="L112" s="442"/>
      <c r="M112" s="442"/>
      <c r="N112" s="443"/>
    </row>
    <row r="113" spans="2:30">
      <c r="D113" s="74"/>
      <c r="E113" s="119"/>
      <c r="F113" s="114"/>
      <c r="G113" s="115"/>
      <c r="J113" s="215" t="s">
        <v>159</v>
      </c>
      <c r="K113" s="215"/>
      <c r="L113" s="442"/>
      <c r="M113" s="442"/>
      <c r="N113" s="443"/>
    </row>
    <row r="114" spans="2:30" ht="21" customHeight="1" thickBot="1">
      <c r="C114" s="175" t="s">
        <v>160</v>
      </c>
      <c r="D114" s="176"/>
      <c r="E114" s="108" t="s">
        <v>161</v>
      </c>
      <c r="F114" s="232" t="s">
        <v>162</v>
      </c>
      <c r="G114" s="233"/>
      <c r="H114" s="233"/>
      <c r="I114" s="234"/>
      <c r="J114" s="215" t="s">
        <v>163</v>
      </c>
      <c r="K114" s="215"/>
      <c r="L114" s="85"/>
      <c r="M114" s="85"/>
      <c r="N114" s="85"/>
    </row>
    <row r="115" spans="2:30" ht="17.25" customHeight="1" thickBot="1">
      <c r="C115" s="56">
        <v>1</v>
      </c>
      <c r="D115" s="55">
        <f t="shared" ref="D115:D122" si="3">J103/K103</f>
        <v>1.3957682295671464E-2</v>
      </c>
      <c r="E115" s="72">
        <f>D115</f>
        <v>1.3957682295671464E-2</v>
      </c>
      <c r="F115" s="109">
        <f>((D115/D103)*(3/4*D75))</f>
        <v>1.6749218754805756E-2</v>
      </c>
      <c r="G115" s="111" t="s">
        <v>46</v>
      </c>
      <c r="H115" s="187" t="str">
        <f t="shared" ref="H115:H122" si="4">IF(F115&lt;$K$115,"CUMPLE","FALSO")</f>
        <v>FALSO</v>
      </c>
      <c r="I115" s="188"/>
      <c r="J115" s="189" t="s">
        <v>108</v>
      </c>
      <c r="K115" s="172">
        <v>7.0000000000000001E-3</v>
      </c>
      <c r="S115" s="455" t="s">
        <v>164</v>
      </c>
      <c r="T115" s="456"/>
      <c r="U115" s="80" t="s">
        <v>165</v>
      </c>
      <c r="V115" s="160" t="s">
        <v>166</v>
      </c>
      <c r="W115" s="457" t="s">
        <v>143</v>
      </c>
      <c r="X115" s="457"/>
      <c r="Y115" s="81" t="s">
        <v>167</v>
      </c>
      <c r="Z115" s="82" t="s">
        <v>168</v>
      </c>
      <c r="AA115" s="90"/>
      <c r="AB115" s="90"/>
    </row>
    <row r="116" spans="2:30" ht="15.75" thickBot="1">
      <c r="C116" s="56">
        <v>2</v>
      </c>
      <c r="D116" s="55">
        <f t="shared" si="3"/>
        <v>9.6665524939291269E-3</v>
      </c>
      <c r="E116" s="55">
        <f>E115+D116</f>
        <v>2.3624234789600591E-2</v>
      </c>
      <c r="F116" s="110">
        <f>((D116/D104)*(3/4*D75))</f>
        <v>1.4499828740893689E-2</v>
      </c>
      <c r="G116" s="112" t="s">
        <v>46</v>
      </c>
      <c r="H116" s="198" t="str">
        <f t="shared" si="4"/>
        <v>FALSO</v>
      </c>
      <c r="I116" s="199"/>
      <c r="J116" s="189"/>
      <c r="K116" s="172"/>
      <c r="S116" s="56">
        <v>1</v>
      </c>
      <c r="T116" s="55">
        <f>D115</f>
        <v>1.3957682295671464E-2</v>
      </c>
      <c r="U116" s="72">
        <f>T116</f>
        <v>1.3957682295671464E-2</v>
      </c>
      <c r="V116" s="156">
        <f>G103</f>
        <v>328.80879999999996</v>
      </c>
      <c r="W116" s="444">
        <f>I103</f>
        <v>3.765879131295315</v>
      </c>
      <c r="X116" s="445"/>
      <c r="Y116" s="83">
        <f>V116*(U116)^2</f>
        <v>6.4057509486673506E-2</v>
      </c>
      <c r="Z116" s="84">
        <f>W116*U116</f>
        <v>5.2562944478519252E-2</v>
      </c>
      <c r="AA116" s="91"/>
      <c r="AB116" s="91"/>
    </row>
    <row r="117" spans="2:30" ht="15.75" thickBot="1">
      <c r="C117" s="56">
        <v>3</v>
      </c>
      <c r="D117" s="55">
        <f t="shared" si="3"/>
        <v>9.0366608377440653E-3</v>
      </c>
      <c r="E117" s="55">
        <f t="shared" ref="E117:E122" si="5">E116+D117</f>
        <v>3.2660895627344658E-2</v>
      </c>
      <c r="F117" s="110">
        <f>((D117/D105)*(3/4*D75))</f>
        <v>1.3554991256616099E-2</v>
      </c>
      <c r="G117" s="112" t="s">
        <v>46</v>
      </c>
      <c r="H117" s="198" t="str">
        <f t="shared" si="4"/>
        <v>FALSO</v>
      </c>
      <c r="I117" s="199"/>
      <c r="J117" s="189"/>
      <c r="K117" s="172"/>
      <c r="M117" s="177" t="s">
        <v>169</v>
      </c>
      <c r="N117" s="177"/>
      <c r="O117" s="177"/>
      <c r="P117" s="177"/>
      <c r="S117" s="56">
        <v>2</v>
      </c>
      <c r="T117" s="55">
        <f t="shared" ref="T117:T123" si="6">D116</f>
        <v>9.6665524939291269E-3</v>
      </c>
      <c r="U117" s="55">
        <f>U116+T117</f>
        <v>2.3624234789600591E-2</v>
      </c>
      <c r="V117" s="156">
        <f t="shared" ref="V117:V123" si="7">G104</f>
        <v>317.28879999999998</v>
      </c>
      <c r="W117" s="444">
        <f t="shared" ref="W117:W123" si="8">I104</f>
        <v>7.4503181393306832</v>
      </c>
      <c r="X117" s="445"/>
      <c r="Y117" s="83">
        <f t="shared" ref="Y117:Y123" si="9">V117*(U117)^2</f>
        <v>0.17708029736871447</v>
      </c>
      <c r="Z117" s="84">
        <f t="shared" ref="Z117:Z123" si="10">W117*U117</f>
        <v>0.17600806498076826</v>
      </c>
      <c r="AA117" s="91"/>
      <c r="AB117" s="91"/>
    </row>
    <row r="118" spans="2:30" ht="15.75" thickBot="1">
      <c r="C118" s="56">
        <v>4</v>
      </c>
      <c r="D118" s="55">
        <f t="shared" si="3"/>
        <v>8.2796686840624148E-3</v>
      </c>
      <c r="E118" s="55">
        <f t="shared" si="5"/>
        <v>4.0940564311407072E-2</v>
      </c>
      <c r="F118" s="110">
        <f>((D118/D106)*(3/4*D75))</f>
        <v>1.2419503026093622E-2</v>
      </c>
      <c r="G118" s="112" t="s">
        <v>46</v>
      </c>
      <c r="H118" s="198" t="str">
        <f t="shared" si="4"/>
        <v>FALSO</v>
      </c>
      <c r="I118" s="199"/>
      <c r="J118" s="189"/>
      <c r="K118" s="172"/>
      <c r="M118" s="177" t="s">
        <v>170</v>
      </c>
      <c r="N118" s="177"/>
      <c r="O118" s="177"/>
      <c r="P118" s="177"/>
      <c r="S118" s="56">
        <v>3</v>
      </c>
      <c r="T118" s="55">
        <f t="shared" si="6"/>
        <v>9.0366608377440653E-3</v>
      </c>
      <c r="U118" s="55">
        <f t="shared" ref="U118:U123" si="11">U117+T118</f>
        <v>3.2660895627344658E-2</v>
      </c>
      <c r="V118" s="156">
        <f t="shared" si="7"/>
        <v>317.28879999999998</v>
      </c>
      <c r="W118" s="444">
        <f t="shared" si="8"/>
        <v>11.674491962430674</v>
      </c>
      <c r="X118" s="445"/>
      <c r="Y118" s="83">
        <f t="shared" si="9"/>
        <v>0.33846278351715398</v>
      </c>
      <c r="Z118" s="84">
        <f t="shared" si="10"/>
        <v>0.38129936348722232</v>
      </c>
      <c r="AA118" s="91"/>
      <c r="AB118" s="91"/>
    </row>
    <row r="119" spans="2:30" ht="15.75" thickBot="1">
      <c r="C119" s="56">
        <v>5</v>
      </c>
      <c r="D119" s="55">
        <f t="shared" si="3"/>
        <v>7.2291721864308116E-3</v>
      </c>
      <c r="E119" s="55">
        <f t="shared" si="5"/>
        <v>4.8169736497837887E-2</v>
      </c>
      <c r="F119" s="110">
        <f>((D119/D107)*(3/4*D75))</f>
        <v>1.0843758279646218E-2</v>
      </c>
      <c r="G119" s="112" t="s">
        <v>46</v>
      </c>
      <c r="H119" s="198" t="str">
        <f t="shared" si="4"/>
        <v>FALSO</v>
      </c>
      <c r="I119" s="199"/>
      <c r="J119" s="189"/>
      <c r="K119" s="172"/>
      <c r="M119" s="177" t="s">
        <v>171</v>
      </c>
      <c r="N119" s="177"/>
      <c r="O119" s="177"/>
      <c r="P119" s="177"/>
      <c r="S119" s="56">
        <v>4</v>
      </c>
      <c r="T119" s="55">
        <f t="shared" si="6"/>
        <v>8.2796686840624148E-3</v>
      </c>
      <c r="U119" s="55">
        <f t="shared" si="11"/>
        <v>4.0940564311407072E-2</v>
      </c>
      <c r="V119" s="156">
        <f t="shared" si="7"/>
        <v>317.28879999999998</v>
      </c>
      <c r="W119" s="444">
        <f t="shared" si="8"/>
        <v>16.200977590739104</v>
      </c>
      <c r="X119" s="445"/>
      <c r="Y119" s="83">
        <f t="shared" si="9"/>
        <v>0.53181721483326949</v>
      </c>
      <c r="Z119" s="84">
        <f t="shared" si="10"/>
        <v>0.66327716496131905</v>
      </c>
      <c r="AA119" s="91"/>
      <c r="AB119" s="91"/>
    </row>
    <row r="120" spans="2:30" ht="21.75" thickBot="1">
      <c r="C120" s="56">
        <v>6</v>
      </c>
      <c r="D120" s="55">
        <f t="shared" si="3"/>
        <v>5.8693392223122679E-3</v>
      </c>
      <c r="E120" s="55">
        <f t="shared" si="5"/>
        <v>5.4039075720150154E-2</v>
      </c>
      <c r="F120" s="110">
        <f>((D120/D108)*(3/4*D75))</f>
        <v>8.8040088334684023E-3</v>
      </c>
      <c r="G120" s="112" t="s">
        <v>46</v>
      </c>
      <c r="H120" s="198" t="str">
        <f t="shared" si="4"/>
        <v>FALSO</v>
      </c>
      <c r="I120" s="199"/>
      <c r="J120" s="189"/>
      <c r="K120" s="172"/>
      <c r="M120" s="458" t="s">
        <v>172</v>
      </c>
      <c r="N120" s="458"/>
      <c r="O120" s="458"/>
      <c r="P120" s="458"/>
      <c r="S120" s="56">
        <v>5</v>
      </c>
      <c r="T120" s="55">
        <f t="shared" si="6"/>
        <v>7.2291721864308116E-3</v>
      </c>
      <c r="U120" s="55">
        <f t="shared" si="11"/>
        <v>4.8169736497837887E-2</v>
      </c>
      <c r="V120" s="156">
        <f t="shared" si="7"/>
        <v>317.28879999999998</v>
      </c>
      <c r="W120" s="444">
        <f t="shared" si="8"/>
        <v>20.971629537558638</v>
      </c>
      <c r="X120" s="445"/>
      <c r="Y120" s="83">
        <f t="shared" si="9"/>
        <v>0.73621266345487135</v>
      </c>
      <c r="Z120" s="84">
        <f t="shared" si="10"/>
        <v>1.0101978687544735</v>
      </c>
      <c r="AA120" s="91"/>
      <c r="AB120" s="91"/>
    </row>
    <row r="121" spans="2:30" ht="15.75" thickBot="1">
      <c r="C121" s="56">
        <v>7</v>
      </c>
      <c r="D121" s="55">
        <f t="shared" si="3"/>
        <v>4.1867697374113229E-3</v>
      </c>
      <c r="E121" s="55">
        <f t="shared" si="5"/>
        <v>5.8225845457561473E-2</v>
      </c>
      <c r="F121" s="110">
        <f>((D121/D109)*(3/4*D75))</f>
        <v>6.2801546061169843E-3</v>
      </c>
      <c r="G121" s="112" t="s">
        <v>46</v>
      </c>
      <c r="H121" s="198" t="str">
        <f t="shared" si="4"/>
        <v>CUMPLE</v>
      </c>
      <c r="I121" s="199"/>
      <c r="J121" s="189"/>
      <c r="K121" s="172"/>
      <c r="S121" s="56">
        <v>6</v>
      </c>
      <c r="T121" s="55">
        <f t="shared" si="6"/>
        <v>5.8693392223122679E-3</v>
      </c>
      <c r="U121" s="55">
        <f t="shared" si="11"/>
        <v>5.4039075720150154E-2</v>
      </c>
      <c r="V121" s="156">
        <f t="shared" si="7"/>
        <v>317.28879999999998</v>
      </c>
      <c r="W121" s="444">
        <f t="shared" si="8"/>
        <v>25.948939935734202</v>
      </c>
      <c r="X121" s="445"/>
      <c r="Y121" s="83">
        <f t="shared" si="9"/>
        <v>0.92655364041444854</v>
      </c>
      <c r="Z121" s="84">
        <f t="shared" si="10"/>
        <v>1.4022567300447688</v>
      </c>
      <c r="AA121" s="91"/>
      <c r="AB121" s="91"/>
    </row>
    <row r="122" spans="2:30" ht="15.75" thickBot="1">
      <c r="C122" s="56">
        <v>8</v>
      </c>
      <c r="D122" s="55">
        <f t="shared" si="3"/>
        <v>1.9481162081291499E-3</v>
      </c>
      <c r="E122" s="55">
        <f t="shared" si="5"/>
        <v>6.0173961665690626E-2</v>
      </c>
      <c r="F122" s="110">
        <f>((D122/D110)*(3/4*D75))</f>
        <v>2.9221743121937249E-3</v>
      </c>
      <c r="G122" s="112" t="s">
        <v>46</v>
      </c>
      <c r="H122" s="198" t="str">
        <f t="shared" si="4"/>
        <v>CUMPLE</v>
      </c>
      <c r="I122" s="199"/>
      <c r="J122" s="190"/>
      <c r="K122" s="173"/>
      <c r="S122" s="56">
        <v>7</v>
      </c>
      <c r="T122" s="55">
        <f t="shared" si="6"/>
        <v>4.1867697374113229E-3</v>
      </c>
      <c r="U122" s="55">
        <f t="shared" si="11"/>
        <v>5.8225845457561473E-2</v>
      </c>
      <c r="V122" s="156">
        <f t="shared" si="7"/>
        <v>317.28879999999998</v>
      </c>
      <c r="W122" s="444">
        <f t="shared" si="8"/>
        <v>31.106450004967865</v>
      </c>
      <c r="X122" s="445"/>
      <c r="Y122" s="83">
        <f t="shared" si="9"/>
        <v>1.0756880620556495</v>
      </c>
      <c r="Z122" s="84">
        <f t="shared" si="10"/>
        <v>1.8111993507226212</v>
      </c>
      <c r="AA122" s="91"/>
      <c r="AB122" s="91"/>
    </row>
    <row r="123" spans="2:30" ht="15.75" thickBot="1">
      <c r="C123" s="459" t="s">
        <v>173</v>
      </c>
      <c r="D123" s="459"/>
      <c r="E123" s="459"/>
      <c r="F123" s="459"/>
      <c r="G123" s="459"/>
      <c r="H123" s="459"/>
      <c r="I123" s="459"/>
      <c r="J123" s="459"/>
      <c r="S123" s="121">
        <v>8</v>
      </c>
      <c r="T123" s="55">
        <f t="shared" si="6"/>
        <v>1.9481162081291499E-3</v>
      </c>
      <c r="U123" s="55">
        <f t="shared" si="11"/>
        <v>6.0173961665690626E-2</v>
      </c>
      <c r="V123" s="156">
        <f t="shared" si="7"/>
        <v>291.49079999999998</v>
      </c>
      <c r="W123" s="444">
        <f t="shared" si="8"/>
        <v>33.46279210703441</v>
      </c>
      <c r="X123" s="445"/>
      <c r="Y123" s="83">
        <f t="shared" si="9"/>
        <v>1.0554606882994819</v>
      </c>
      <c r="Z123" s="84">
        <f t="shared" si="10"/>
        <v>2.0135887694756636</v>
      </c>
      <c r="AA123" s="91"/>
      <c r="AB123" s="91"/>
    </row>
    <row r="124" spans="2:30" ht="15.75" thickBot="1">
      <c r="S124" s="56"/>
      <c r="T124" s="246" t="s">
        <v>174</v>
      </c>
      <c r="U124" s="246"/>
      <c r="V124" s="246"/>
      <c r="W124" s="246"/>
      <c r="X124" s="242"/>
      <c r="Y124" s="86">
        <f>SUM(Y116:Y123)</f>
        <v>4.9053328594302625</v>
      </c>
      <c r="Z124" s="84">
        <f>SUM(Z116:Z123)</f>
        <v>7.5103902569053549</v>
      </c>
      <c r="AA124" s="91"/>
      <c r="AB124" s="91"/>
    </row>
    <row r="125" spans="2:30" ht="18" customHeight="1" thickBot="1">
      <c r="R125" s="171" t="s">
        <v>80</v>
      </c>
      <c r="S125" s="21" t="s">
        <v>175</v>
      </c>
      <c r="T125" s="446" t="s">
        <v>176</v>
      </c>
      <c r="U125" s="439"/>
      <c r="V125" s="439"/>
      <c r="W125" s="439"/>
      <c r="X125" s="439"/>
      <c r="Y125" s="441"/>
      <c r="Z125" s="463">
        <f>T126*S126</f>
        <v>1.621247685975501</v>
      </c>
      <c r="AA125" s="464"/>
      <c r="AB125" s="465"/>
      <c r="AC125" s="171" t="s">
        <v>177</v>
      </c>
      <c r="AD125" s="107"/>
    </row>
    <row r="126" spans="2:30" ht="15.75" thickBot="1">
      <c r="B126" s="191" t="s">
        <v>178</v>
      </c>
      <c r="C126" s="192"/>
      <c r="D126" s="192"/>
      <c r="E126" s="192"/>
      <c r="F126" s="192"/>
      <c r="G126" s="192"/>
      <c r="H126" s="192"/>
      <c r="I126" s="192"/>
      <c r="J126" s="192"/>
      <c r="K126" s="192"/>
      <c r="L126" s="192"/>
      <c r="M126" s="192"/>
      <c r="N126" s="193"/>
      <c r="R126" s="172"/>
      <c r="S126" s="453">
        <f>2*3.1416</f>
        <v>6.2831999999999999</v>
      </c>
      <c r="T126" s="447">
        <f>SQRT((Y124)/(9.81*Z124))</f>
        <v>0.25802897981530126</v>
      </c>
      <c r="U126" s="448"/>
      <c r="V126" s="448"/>
      <c r="W126" s="448"/>
      <c r="X126" s="448"/>
      <c r="Y126" s="449"/>
      <c r="Z126" s="466"/>
      <c r="AA126" s="467"/>
      <c r="AB126" s="468"/>
      <c r="AC126" s="172"/>
      <c r="AD126" s="107"/>
    </row>
    <row r="127" spans="2:30" ht="15.75" thickBot="1">
      <c r="R127" s="172"/>
      <c r="S127" s="454"/>
      <c r="T127" s="450"/>
      <c r="U127" s="451"/>
      <c r="V127" s="451"/>
      <c r="W127" s="451"/>
      <c r="X127" s="451"/>
      <c r="Y127" s="452"/>
      <c r="Z127" s="469"/>
      <c r="AA127" s="470"/>
      <c r="AB127" s="471"/>
      <c r="AC127" s="172"/>
      <c r="AD127" s="107"/>
    </row>
    <row r="128" spans="2:30" ht="15.75" thickBot="1">
      <c r="R128" s="173"/>
      <c r="S128" s="438" t="s">
        <v>179</v>
      </c>
      <c r="T128" s="439"/>
      <c r="U128" s="439"/>
      <c r="V128" s="439"/>
      <c r="W128" s="439"/>
      <c r="X128" s="439"/>
      <c r="Y128" s="439"/>
      <c r="Z128" s="439"/>
      <c r="AA128" s="440"/>
      <c r="AB128" s="440"/>
      <c r="AC128" s="441"/>
      <c r="AD128" s="19"/>
    </row>
  </sheetData>
  <mergeCells count="413">
    <mergeCell ref="Z125:AB127"/>
    <mergeCell ref="X8:AB10"/>
    <mergeCell ref="X7:AB7"/>
    <mergeCell ref="Y3:AB3"/>
    <mergeCell ref="Y4:AB4"/>
    <mergeCell ref="Y5:AB5"/>
    <mergeCell ref="Y13:AB13"/>
    <mergeCell ref="Y14:AB14"/>
    <mergeCell ref="Y15:AB15"/>
    <mergeCell ref="X17:AB17"/>
    <mergeCell ref="X18:AB20"/>
    <mergeCell ref="Y23:AB23"/>
    <mergeCell ref="Y24:AB24"/>
    <mergeCell ref="Y25:AB25"/>
    <mergeCell ref="X27:AB27"/>
    <mergeCell ref="X28:AB30"/>
    <mergeCell ref="Y33:AB33"/>
    <mergeCell ref="Y34:AB34"/>
    <mergeCell ref="Y35:AB35"/>
    <mergeCell ref="X37:AB37"/>
    <mergeCell ref="X38:AB40"/>
    <mergeCell ref="R100:AC100"/>
    <mergeCell ref="U28:U30"/>
    <mergeCell ref="V28:V30"/>
    <mergeCell ref="G38:G40"/>
    <mergeCell ref="H38:H40"/>
    <mergeCell ref="R47:T47"/>
    <mergeCell ref="I38:K40"/>
    <mergeCell ref="L38:L40"/>
    <mergeCell ref="M38:M40"/>
    <mergeCell ref="N38:N40"/>
    <mergeCell ref="O38:O40"/>
    <mergeCell ref="J113:K113"/>
    <mergeCell ref="W28:W30"/>
    <mergeCell ref="G26:G27"/>
    <mergeCell ref="H26:H27"/>
    <mergeCell ref="I26:L26"/>
    <mergeCell ref="I27:K27"/>
    <mergeCell ref="M28:M30"/>
    <mergeCell ref="N28:N30"/>
    <mergeCell ref="Q28:Q30"/>
    <mergeCell ref="R28:S30"/>
    <mergeCell ref="T28:T30"/>
    <mergeCell ref="G28:G30"/>
    <mergeCell ref="H28:H30"/>
    <mergeCell ref="O23:O27"/>
    <mergeCell ref="S128:AC128"/>
    <mergeCell ref="L111:M113"/>
    <mergeCell ref="N111:N113"/>
    <mergeCell ref="W123:X123"/>
    <mergeCell ref="T125:Y125"/>
    <mergeCell ref="T126:Y127"/>
    <mergeCell ref="S126:S127"/>
    <mergeCell ref="S115:T115"/>
    <mergeCell ref="W115:X115"/>
    <mergeCell ref="W116:X116"/>
    <mergeCell ref="W117:X117"/>
    <mergeCell ref="W118:X118"/>
    <mergeCell ref="W119:X119"/>
    <mergeCell ref="W120:X120"/>
    <mergeCell ref="W121:X121"/>
    <mergeCell ref="W122:X122"/>
    <mergeCell ref="B126:N126"/>
    <mergeCell ref="M119:P119"/>
    <mergeCell ref="M120:P120"/>
    <mergeCell ref="AC125:AC127"/>
    <mergeCell ref="C123:J123"/>
    <mergeCell ref="H116:I116"/>
    <mergeCell ref="H117:I117"/>
    <mergeCell ref="T124:X124"/>
    <mergeCell ref="J4:K4"/>
    <mergeCell ref="D8:D10"/>
    <mergeCell ref="F8:F10"/>
    <mergeCell ref="O13:O17"/>
    <mergeCell ref="I8:K10"/>
    <mergeCell ref="N8:N10"/>
    <mergeCell ref="A11:M11"/>
    <mergeCell ref="A12:C12"/>
    <mergeCell ref="J12:L12"/>
    <mergeCell ref="A13:A17"/>
    <mergeCell ref="B13:C13"/>
    <mergeCell ref="J13:K13"/>
    <mergeCell ref="A3:A7"/>
    <mergeCell ref="A8:A10"/>
    <mergeCell ref="B14:C14"/>
    <mergeCell ref="J14:K14"/>
    <mergeCell ref="B15:C15"/>
    <mergeCell ref="J15:K15"/>
    <mergeCell ref="B16:C16"/>
    <mergeCell ref="D16:D17"/>
    <mergeCell ref="F16:F17"/>
    <mergeCell ref="G16:G17"/>
    <mergeCell ref="H16:H17"/>
    <mergeCell ref="I16:L16"/>
    <mergeCell ref="A2:C2"/>
    <mergeCell ref="J2:L2"/>
    <mergeCell ref="J3:K3"/>
    <mergeCell ref="A1:AI1"/>
    <mergeCell ref="O8:O10"/>
    <mergeCell ref="D6:D7"/>
    <mergeCell ref="F6:F7"/>
    <mergeCell ref="G6:G7"/>
    <mergeCell ref="H6:H7"/>
    <mergeCell ref="O3:O7"/>
    <mergeCell ref="G8:G10"/>
    <mergeCell ref="H8:H10"/>
    <mergeCell ref="L8:L10"/>
    <mergeCell ref="M8:M10"/>
    <mergeCell ref="B3:C3"/>
    <mergeCell ref="B4:C4"/>
    <mergeCell ref="B5:C5"/>
    <mergeCell ref="B6:C6"/>
    <mergeCell ref="B8:C10"/>
    <mergeCell ref="J5:K5"/>
    <mergeCell ref="I6:L6"/>
    <mergeCell ref="I7:K7"/>
    <mergeCell ref="Q2:S2"/>
    <mergeCell ref="Y2:AC2"/>
    <mergeCell ref="B24:C24"/>
    <mergeCell ref="J24:K24"/>
    <mergeCell ref="B25:C25"/>
    <mergeCell ref="J25:K25"/>
    <mergeCell ref="B26:C26"/>
    <mergeCell ref="D26:D27"/>
    <mergeCell ref="F26:F27"/>
    <mergeCell ref="O28:O30"/>
    <mergeCell ref="I17:K17"/>
    <mergeCell ref="I18:K20"/>
    <mergeCell ref="L18:L20"/>
    <mergeCell ref="M18:M20"/>
    <mergeCell ref="N18:N20"/>
    <mergeCell ref="O18:O20"/>
    <mergeCell ref="A21:M21"/>
    <mergeCell ref="A18:A20"/>
    <mergeCell ref="B18:C20"/>
    <mergeCell ref="D18:D20"/>
    <mergeCell ref="F18:F20"/>
    <mergeCell ref="G18:G20"/>
    <mergeCell ref="H18:H20"/>
    <mergeCell ref="A33:A37"/>
    <mergeCell ref="B33:C33"/>
    <mergeCell ref="J33:K33"/>
    <mergeCell ref="A22:C22"/>
    <mergeCell ref="J22:L22"/>
    <mergeCell ref="A23:A27"/>
    <mergeCell ref="B23:C23"/>
    <mergeCell ref="J23:K23"/>
    <mergeCell ref="B34:C34"/>
    <mergeCell ref="J34:K34"/>
    <mergeCell ref="B35:C35"/>
    <mergeCell ref="J35:K35"/>
    <mergeCell ref="I28:K30"/>
    <mergeCell ref="L28:L30"/>
    <mergeCell ref="B36:C36"/>
    <mergeCell ref="D36:D37"/>
    <mergeCell ref="A31:M31"/>
    <mergeCell ref="A28:A30"/>
    <mergeCell ref="B28:C30"/>
    <mergeCell ref="D28:D30"/>
    <mergeCell ref="F28:F30"/>
    <mergeCell ref="A32:C32"/>
    <mergeCell ref="J32:L32"/>
    <mergeCell ref="F36:F37"/>
    <mergeCell ref="AI8:AI10"/>
    <mergeCell ref="Q11:AE11"/>
    <mergeCell ref="R6:S6"/>
    <mergeCell ref="W6:W7"/>
    <mergeCell ref="Q8:Q10"/>
    <mergeCell ref="R8:S10"/>
    <mergeCell ref="W8:W10"/>
    <mergeCell ref="AC8:AC10"/>
    <mergeCell ref="AE8:AE10"/>
    <mergeCell ref="AH8:AH10"/>
    <mergeCell ref="T8:T10"/>
    <mergeCell ref="U8:U10"/>
    <mergeCell ref="V8:V10"/>
    <mergeCell ref="Q3:Q7"/>
    <mergeCell ref="R3:S3"/>
    <mergeCell ref="AI3:AI7"/>
    <mergeCell ref="R4:S4"/>
    <mergeCell ref="R5:S5"/>
    <mergeCell ref="T6:T7"/>
    <mergeCell ref="U6:U7"/>
    <mergeCell ref="V6:V7"/>
    <mergeCell ref="W16:W17"/>
    <mergeCell ref="X16:AC16"/>
    <mergeCell ref="Q12:S12"/>
    <mergeCell ref="Y12:AC12"/>
    <mergeCell ref="Q13:Q17"/>
    <mergeCell ref="R13:S13"/>
    <mergeCell ref="AI18:AI20"/>
    <mergeCell ref="AI13:AI17"/>
    <mergeCell ref="Q18:Q20"/>
    <mergeCell ref="R18:S20"/>
    <mergeCell ref="T18:T20"/>
    <mergeCell ref="U18:U20"/>
    <mergeCell ref="R15:S15"/>
    <mergeCell ref="R16:S16"/>
    <mergeCell ref="R14:S14"/>
    <mergeCell ref="T16:T17"/>
    <mergeCell ref="U16:U17"/>
    <mergeCell ref="V16:V17"/>
    <mergeCell ref="Q21:AE21"/>
    <mergeCell ref="Q22:S22"/>
    <mergeCell ref="Q23:Q27"/>
    <mergeCell ref="R23:S23"/>
    <mergeCell ref="AI23:AI27"/>
    <mergeCell ref="R24:S24"/>
    <mergeCell ref="V18:V20"/>
    <mergeCell ref="W18:W20"/>
    <mergeCell ref="AC18:AC20"/>
    <mergeCell ref="AE18:AE20"/>
    <mergeCell ref="AH18:AH20"/>
    <mergeCell ref="R25:S25"/>
    <mergeCell ref="R26:S26"/>
    <mergeCell ref="T26:T27"/>
    <mergeCell ref="U26:U27"/>
    <mergeCell ref="V26:V27"/>
    <mergeCell ref="W26:W27"/>
    <mergeCell ref="X26:AC26"/>
    <mergeCell ref="Y22:AB22"/>
    <mergeCell ref="AH38:AH40"/>
    <mergeCell ref="AI38:AI40"/>
    <mergeCell ref="AC28:AC30"/>
    <mergeCell ref="AE28:AE30"/>
    <mergeCell ref="AH28:AH30"/>
    <mergeCell ref="AI28:AI30"/>
    <mergeCell ref="Q31:AE31"/>
    <mergeCell ref="AI33:AI37"/>
    <mergeCell ref="R34:S34"/>
    <mergeCell ref="R35:S35"/>
    <mergeCell ref="AC38:AC40"/>
    <mergeCell ref="AE38:AE40"/>
    <mergeCell ref="Y32:AC32"/>
    <mergeCell ref="Q33:Q37"/>
    <mergeCell ref="R33:S33"/>
    <mergeCell ref="Q32:S32"/>
    <mergeCell ref="T36:T37"/>
    <mergeCell ref="U36:U37"/>
    <mergeCell ref="V36:V37"/>
    <mergeCell ref="W36:W37"/>
    <mergeCell ref="X36:AC36"/>
    <mergeCell ref="R36:S36"/>
    <mergeCell ref="U38:U40"/>
    <mergeCell ref="V38:V40"/>
    <mergeCell ref="G36:G37"/>
    <mergeCell ref="H36:H37"/>
    <mergeCell ref="I36:L36"/>
    <mergeCell ref="I37:K37"/>
    <mergeCell ref="O33:O37"/>
    <mergeCell ref="R48:T48"/>
    <mergeCell ref="Q38:Q40"/>
    <mergeCell ref="R38:S40"/>
    <mergeCell ref="T38:T40"/>
    <mergeCell ref="Q41:AE41"/>
    <mergeCell ref="A43:G43"/>
    <mergeCell ref="A44:G44"/>
    <mergeCell ref="W38:W40"/>
    <mergeCell ref="J46:L46"/>
    <mergeCell ref="R44:T44"/>
    <mergeCell ref="R45:T45"/>
    <mergeCell ref="R46:T46"/>
    <mergeCell ref="A45:C45"/>
    <mergeCell ref="A41:M41"/>
    <mergeCell ref="A38:A40"/>
    <mergeCell ref="B38:C40"/>
    <mergeCell ref="D38:D40"/>
    <mergeCell ref="F38:F40"/>
    <mergeCell ref="A46:C46"/>
    <mergeCell ref="A47:C47"/>
    <mergeCell ref="A48:C48"/>
    <mergeCell ref="D45:F45"/>
    <mergeCell ref="D46:F46"/>
    <mergeCell ref="D47:F47"/>
    <mergeCell ref="D48:F48"/>
    <mergeCell ref="D56:F56"/>
    <mergeCell ref="D57:F57"/>
    <mergeCell ref="A50:C50"/>
    <mergeCell ref="D50:F50"/>
    <mergeCell ref="A49:C49"/>
    <mergeCell ref="D49:F49"/>
    <mergeCell ref="D58:F58"/>
    <mergeCell ref="D59:F59"/>
    <mergeCell ref="A56:C56"/>
    <mergeCell ref="A57:C57"/>
    <mergeCell ref="A58:C58"/>
    <mergeCell ref="D51:F51"/>
    <mergeCell ref="D53:F53"/>
    <mergeCell ref="D54:F54"/>
    <mergeCell ref="A59:C59"/>
    <mergeCell ref="D55:F55"/>
    <mergeCell ref="A52:G52"/>
    <mergeCell ref="A51:C51"/>
    <mergeCell ref="A53:C53"/>
    <mergeCell ref="A54:C54"/>
    <mergeCell ref="A55:C55"/>
    <mergeCell ref="D74:F74"/>
    <mergeCell ref="H74:J74"/>
    <mergeCell ref="D75:J75"/>
    <mergeCell ref="C76:J76"/>
    <mergeCell ref="C66:J66"/>
    <mergeCell ref="B65:J65"/>
    <mergeCell ref="B64:J64"/>
    <mergeCell ref="B62:J63"/>
    <mergeCell ref="D71:F71"/>
    <mergeCell ref="B73:J73"/>
    <mergeCell ref="H71:J71"/>
    <mergeCell ref="C68:J68"/>
    <mergeCell ref="C67:J67"/>
    <mergeCell ref="B70:J70"/>
    <mergeCell ref="B69:J69"/>
    <mergeCell ref="D83:F83"/>
    <mergeCell ref="D85:F85"/>
    <mergeCell ref="D87:F87"/>
    <mergeCell ref="A90:B91"/>
    <mergeCell ref="B89:J89"/>
    <mergeCell ref="C90:J91"/>
    <mergeCell ref="C77:J77"/>
    <mergeCell ref="C78:J78"/>
    <mergeCell ref="G83:H83"/>
    <mergeCell ref="J83:N83"/>
    <mergeCell ref="K85:N85"/>
    <mergeCell ref="J87:N87"/>
    <mergeCell ref="B80:C80"/>
    <mergeCell ref="B81:C81"/>
    <mergeCell ref="D80:Q80"/>
    <mergeCell ref="D81:Q81"/>
    <mergeCell ref="B108:C108"/>
    <mergeCell ref="D108:F108"/>
    <mergeCell ref="B109:C109"/>
    <mergeCell ref="D109:F109"/>
    <mergeCell ref="B110:C110"/>
    <mergeCell ref="D110:F110"/>
    <mergeCell ref="D111:F112"/>
    <mergeCell ref="F114:I114"/>
    <mergeCell ref="C92:J92"/>
    <mergeCell ref="C93:J93"/>
    <mergeCell ref="C94:J94"/>
    <mergeCell ref="C95:J95"/>
    <mergeCell ref="I99:J99"/>
    <mergeCell ref="F99:H99"/>
    <mergeCell ref="B99:D99"/>
    <mergeCell ref="B97:J98"/>
    <mergeCell ref="A92:B92"/>
    <mergeCell ref="A93:B93"/>
    <mergeCell ref="A94:B94"/>
    <mergeCell ref="A95:B95"/>
    <mergeCell ref="H121:I121"/>
    <mergeCell ref="H122:I122"/>
    <mergeCell ref="U95:V95"/>
    <mergeCell ref="U96:V98"/>
    <mergeCell ref="S96:T98"/>
    <mergeCell ref="R108:U108"/>
    <mergeCell ref="Y108:Y111"/>
    <mergeCell ref="Z108:Z111"/>
    <mergeCell ref="R109:U109"/>
    <mergeCell ref="W95:X95"/>
    <mergeCell ref="W96:X98"/>
    <mergeCell ref="L102:M102"/>
    <mergeCell ref="L103:M103"/>
    <mergeCell ref="L104:M104"/>
    <mergeCell ref="L105:M105"/>
    <mergeCell ref="L106:M106"/>
    <mergeCell ref="M118:P118"/>
    <mergeCell ref="L107:M107"/>
    <mergeCell ref="L108:M108"/>
    <mergeCell ref="L109:M109"/>
    <mergeCell ref="L110:M110"/>
    <mergeCell ref="M117:P117"/>
    <mergeCell ref="H118:I118"/>
    <mergeCell ref="H119:I119"/>
    <mergeCell ref="H120:I120"/>
    <mergeCell ref="AE100:AE111"/>
    <mergeCell ref="R101:X101"/>
    <mergeCell ref="Y101:Y105"/>
    <mergeCell ref="Z101:Z105"/>
    <mergeCell ref="R102:U102"/>
    <mergeCell ref="R103:U103"/>
    <mergeCell ref="R104:U104"/>
    <mergeCell ref="R105:U105"/>
    <mergeCell ref="R107:X107"/>
    <mergeCell ref="AA101:AA105"/>
    <mergeCell ref="AA107:AA111"/>
    <mergeCell ref="AB107:AB111"/>
    <mergeCell ref="AC101:AC105"/>
    <mergeCell ref="AC107:AC111"/>
    <mergeCell ref="AD100:AD111"/>
    <mergeCell ref="J114:K114"/>
    <mergeCell ref="R106:AC106"/>
    <mergeCell ref="R125:R128"/>
    <mergeCell ref="Z82:Z83"/>
    <mergeCell ref="K115:K122"/>
    <mergeCell ref="C114:D114"/>
    <mergeCell ref="R110:U110"/>
    <mergeCell ref="R111:U111"/>
    <mergeCell ref="N99:P99"/>
    <mergeCell ref="G111:G112"/>
    <mergeCell ref="B105:C105"/>
    <mergeCell ref="D105:F105"/>
    <mergeCell ref="B106:C106"/>
    <mergeCell ref="D106:F106"/>
    <mergeCell ref="B107:C107"/>
    <mergeCell ref="D107:F107"/>
    <mergeCell ref="N98:P98"/>
    <mergeCell ref="H115:I115"/>
    <mergeCell ref="J115:J122"/>
    <mergeCell ref="B101:N101"/>
    <mergeCell ref="B102:C102"/>
    <mergeCell ref="D102:F102"/>
    <mergeCell ref="B103:C103"/>
    <mergeCell ref="D103:F103"/>
    <mergeCell ref="B104:C104"/>
    <mergeCell ref="D104:F104"/>
  </mergeCells>
  <pageMargins left="0.7" right="0.7" top="0.75" bottom="0.75" header="0.3" footer="0.3"/>
  <pageSetup paperSize="8" orientation="landscape" r:id="rId1"/>
  <ignoredErrors>
    <ignoredError sqref="D5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de Windows</dc:creator>
  <cp:keywords/>
  <dc:description/>
  <cp:lastModifiedBy>Brandon Gonzalez</cp:lastModifiedBy>
  <cp:revision/>
  <dcterms:created xsi:type="dcterms:W3CDTF">2018-04-30T20:33:00Z</dcterms:created>
  <dcterms:modified xsi:type="dcterms:W3CDTF">2024-08-01T19:41:12Z</dcterms:modified>
  <cp:category/>
  <cp:contentStatus/>
</cp:coreProperties>
</file>